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ukdI0rKlN9o7B1OZ2KGStG0uy/y4XeDkFj2YvBkbF2sn/obb0bQb4W/C3DgB2vPvfStthL33Uz8Q3c/lbluYcw==" workbookSaltValue="C1Rdxfk9NpUT/zhDwVQnN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23" i="17" s="1"/>
  <c r="T26" i="17" s="1"/>
  <c r="T30" i="17" s="1"/>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30" i="17" s="1"/>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F11" i="16" s="1"/>
  <c r="BL11" i="16" s="1"/>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L17" i="14"/>
  <c r="ES31" i="8"/>
  <c r="N25" i="11"/>
  <c r="F16" i="11"/>
  <c r="AQ16" i="11" s="1"/>
  <c r="EP31" i="8"/>
  <c r="AL14" i="16"/>
  <c r="AJ14" i="16"/>
  <c r="EP31" i="19"/>
  <c r="S14" i="16"/>
  <c r="P14" i="16"/>
  <c r="F13" i="16"/>
  <c r="Z14" i="17"/>
  <c r="K26" i="2"/>
  <c r="N26" i="2"/>
  <c r="K30" i="2"/>
  <c r="F30" i="17"/>
  <c r="F26" i="17"/>
  <c r="F14" i="7"/>
  <c r="T14" i="20"/>
  <c r="BB26" i="13"/>
  <c r="BF16" i="8"/>
  <c r="BD9" i="8"/>
  <c r="AH14" i="16"/>
  <c r="AO14" i="21"/>
  <c r="AP14" i="16"/>
  <c r="U26" i="16"/>
  <c r="BG16" i="13"/>
  <c r="BE17" i="13"/>
  <c r="BF17" i="13"/>
  <c r="E32" i="20"/>
  <c r="M32" i="20"/>
  <c r="AI32" i="20"/>
  <c r="AM32" i="20"/>
  <c r="U10" i="11"/>
  <c r="I32" i="20"/>
  <c r="J32" i="20"/>
  <c r="Q32" i="20"/>
  <c r="AK32" i="20"/>
  <c r="AE32" i="20"/>
  <c r="U12" i="11"/>
  <c r="AU32" i="20"/>
  <c r="AZ32" i="20"/>
  <c r="G14" i="14"/>
  <c r="O18" i="11"/>
  <c r="R32" i="20"/>
  <c r="W32" i="20"/>
  <c r="K32" i="20"/>
  <c r="O17" i="11"/>
  <c r="AJ32" i="20"/>
  <c r="G30" i="14"/>
  <c r="G23" i="14"/>
  <c r="U18" i="11"/>
  <c r="AX32" i="20"/>
  <c r="Y32" i="20"/>
  <c r="L32" i="20"/>
  <c r="AG32" i="20"/>
  <c r="H32" i="20"/>
  <c r="T32" i="21"/>
  <c r="F32" i="20"/>
  <c r="AF32" i="20"/>
  <c r="G26" i="14"/>
  <c r="S32" i="20"/>
  <c r="AQ32" i="21"/>
  <c r="T31" i="8" l="1"/>
  <c r="M23" i="2"/>
  <c r="AL21" i="11"/>
  <c r="R8" i="9"/>
  <c r="S13" i="14" s="1"/>
  <c r="V13" i="14" s="1"/>
  <c r="T17" i="11"/>
  <c r="AA10" i="16"/>
  <c r="X21" i="17"/>
  <c r="AA20" i="16"/>
  <c r="AA9" i="16"/>
  <c r="U10" i="21"/>
  <c r="V21" i="16"/>
  <c r="AZ20" i="11"/>
  <c r="AZ28" i="11"/>
  <c r="L13" i="2"/>
  <c r="L21" i="2"/>
  <c r="L29" i="2"/>
  <c r="X12" i="16"/>
  <c r="R13" i="14"/>
  <c r="S19" i="14"/>
  <c r="V19" i="14" s="1"/>
  <c r="S29" i="14"/>
  <c r="V29" i="14" s="1"/>
  <c r="R12" i="14"/>
  <c r="R19" i="14"/>
  <c r="T13" i="11"/>
  <c r="T25" i="11"/>
  <c r="T11" i="11"/>
  <c r="S16" i="14"/>
  <c r="V16" i="14" s="1"/>
  <c r="T18" i="11"/>
  <c r="AA28" i="16"/>
  <c r="AA17" i="16"/>
  <c r="X13" i="17"/>
  <c r="AA18" i="16"/>
  <c r="X9" i="17"/>
  <c r="T18" i="20"/>
  <c r="X19" i="20"/>
  <c r="AA12" i="21"/>
  <c r="V19" i="16"/>
  <c r="V16" i="20"/>
  <c r="V23" i="20" s="1"/>
  <c r="X14" i="20"/>
  <c r="BE26" i="13"/>
  <c r="BA23" i="13"/>
  <c r="BE19" i="13"/>
  <c r="I31" i="8"/>
  <c r="AS14" i="8"/>
  <c r="AS31" i="8" s="1"/>
  <c r="H13" i="10"/>
  <c r="J13" i="10" s="1"/>
  <c r="L13" i="10" s="1"/>
  <c r="F19" i="2"/>
  <c r="F12" i="2"/>
  <c r="BF9" i="8"/>
  <c r="J9" i="7" s="1"/>
  <c r="BE9" i="8"/>
  <c r="BD12" i="8"/>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M13" i="11"/>
  <c r="C9" i="6"/>
  <c r="J9" i="2"/>
  <c r="C23" i="2"/>
  <c r="D23" i="2" s="1"/>
  <c r="AL16" i="11"/>
  <c r="D16" i="6"/>
  <c r="J16" i="12" s="1"/>
  <c r="AN16" i="11"/>
  <c r="C16" i="6"/>
  <c r="I16" i="12" s="1"/>
  <c r="BI20" i="16"/>
  <c r="H16" i="7"/>
  <c r="H25" i="7"/>
  <c r="AN20" i="11"/>
  <c r="I23" i="2"/>
  <c r="J23" i="2" s="1"/>
  <c r="D20" i="6"/>
  <c r="J20" i="12" s="1"/>
  <c r="J20" i="7"/>
  <c r="F29" i="2"/>
  <c r="F20" i="2"/>
  <c r="I14" i="2"/>
  <c r="J14" i="2" s="1"/>
  <c r="AO12" i="11"/>
  <c r="L18" i="14"/>
  <c r="AN11" i="11"/>
  <c r="AM22" i="11"/>
  <c r="E17" i="6"/>
  <c r="E10" i="6"/>
  <c r="AN13" i="11"/>
  <c r="C25" i="6"/>
  <c r="AO10" i="11"/>
  <c r="D17" i="2"/>
  <c r="B25" i="6"/>
  <c r="AO16" i="11"/>
  <c r="BI16" i="16"/>
  <c r="L16" i="14"/>
  <c r="AL13" i="11"/>
  <c r="C11" i="6"/>
  <c r="L11" i="14"/>
  <c r="BI18" i="16"/>
  <c r="AL18" i="11"/>
  <c r="H18" i="2"/>
  <c r="H13" i="2"/>
  <c r="H11" i="2"/>
  <c r="AN9" i="11"/>
  <c r="T10" i="21"/>
  <c r="BC33" i="21"/>
  <c r="BE14" i="19"/>
  <c r="AP31" i="19"/>
  <c r="Q31" i="19"/>
  <c r="X31" i="19"/>
  <c r="AN31" i="19"/>
  <c r="AM31" i="19"/>
  <c r="BI31" i="19"/>
  <c r="AY31" i="19"/>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Q32" i="20"/>
  <c r="AA32" i="20"/>
  <c r="AN32" i="20"/>
  <c r="AD32" i="20"/>
  <c r="AC32" i="20"/>
  <c r="AV32" i="20"/>
  <c r="O10" i="11"/>
  <c r="AP32" i="20"/>
  <c r="U17" i="11"/>
  <c r="W32" i="21"/>
  <c r="K9" i="12" l="1"/>
  <c r="K17" i="12"/>
  <c r="I9" i="12"/>
  <c r="T22" i="11"/>
  <c r="R22" i="14"/>
  <c r="R23" i="14" s="1"/>
  <c r="S18" i="14"/>
  <c r="V18" i="14" s="1"/>
  <c r="BH30" i="16"/>
  <c r="AP14" i="20"/>
  <c r="V10" i="21"/>
  <c r="AO18" i="17"/>
  <c r="AO9" i="17"/>
  <c r="AO16" i="17"/>
  <c r="AM20" i="11"/>
  <c r="AO13" i="17"/>
  <c r="X14" i="17"/>
  <c r="AO10" i="17"/>
  <c r="AO30" i="17"/>
  <c r="BH26" i="16"/>
  <c r="AM17" i="11"/>
  <c r="AQ26" i="21"/>
  <c r="AO26" i="17"/>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X9" i="16"/>
  <c r="X31" i="16" s="1"/>
  <c r="L25" i="2"/>
  <c r="L19" i="2"/>
  <c r="L11" i="2"/>
  <c r="AZ22" i="11"/>
  <c r="AZ12" i="11"/>
  <c r="X17" i="20"/>
  <c r="X22" i="20"/>
  <c r="X18" i="17"/>
  <c r="AA16" i="16"/>
  <c r="X17" i="17"/>
  <c r="AA25" i="16"/>
  <c r="S11" i="14"/>
  <c r="V11" i="14" s="1"/>
  <c r="V13" i="16"/>
  <c r="T12" i="11"/>
  <c r="R11" i="14"/>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Q14" i="21" s="1"/>
  <c r="Q31" i="21" s="1"/>
  <c r="BH9" i="11"/>
  <c r="BM25" i="11"/>
  <c r="BI16" i="11"/>
  <c r="BK25" i="11"/>
  <c r="BJ29" i="11"/>
  <c r="V28" i="11"/>
  <c r="BM13" i="11"/>
  <c r="BH20" i="11"/>
  <c r="BJ12" i="11"/>
  <c r="BI18" i="11"/>
  <c r="AP17" i="20"/>
  <c r="BL19" i="11"/>
  <c r="BJ22" i="11"/>
  <c r="BJ18" i="11"/>
  <c r="BG10" i="11"/>
  <c r="BM17" i="11"/>
  <c r="V11" i="16"/>
  <c r="BF21" i="11"/>
  <c r="V25" i="11"/>
  <c r="BF17" i="11"/>
  <c r="BF10" i="11"/>
  <c r="Q10" i="11" s="1"/>
  <c r="BL12" i="11"/>
  <c r="BK21" i="11"/>
  <c r="V11" i="11"/>
  <c r="BI25" i="11"/>
  <c r="BM12" i="11"/>
  <c r="V13" i="11"/>
  <c r="V9" i="11"/>
  <c r="BI19" i="11"/>
  <c r="BJ16" i="11"/>
  <c r="AP22" i="20"/>
  <c r="AP16" i="20"/>
  <c r="BG16" i="11"/>
  <c r="R25" i="14"/>
  <c r="BH13" i="11"/>
  <c r="V20" i="11"/>
  <c r="BL13" i="11"/>
  <c r="Q13" i="11" s="1"/>
  <c r="BL25" i="11"/>
  <c r="Q25" i="11" s="1"/>
  <c r="BH18" i="11"/>
  <c r="BG19" i="11"/>
  <c r="BM16" i="11"/>
  <c r="AZ9" i="11"/>
  <c r="AO28" i="17"/>
  <c r="BL29" i="11"/>
  <c r="Q29" i="11" s="1"/>
  <c r="BJ25" i="11"/>
  <c r="T16" i="16"/>
  <c r="AZ16" i="11"/>
  <c r="AZ23" i="11" s="1"/>
  <c r="BW20" i="20"/>
  <c r="BU16" i="17"/>
  <c r="BV19" i="16"/>
  <c r="BW19" i="20"/>
  <c r="BV18" i="16"/>
  <c r="X20" i="16"/>
  <c r="V16" i="11"/>
  <c r="BG25" i="11"/>
  <c r="Q18" i="20"/>
  <c r="Q23" i="20" s="1"/>
  <c r="BF18" i="11"/>
  <c r="BG22" i="11"/>
  <c r="AZ19" i="11"/>
  <c r="V12" i="21"/>
  <c r="AZ18" i="11"/>
  <c r="AP21" i="20"/>
  <c r="BJ11" i="11"/>
  <c r="R10" i="21"/>
  <c r="BG9" i="11"/>
  <c r="BL11" i="11"/>
  <c r="R18" i="20"/>
  <c r="R23" i="20" s="1"/>
  <c r="BL21" i="11"/>
  <c r="BK18" i="11"/>
  <c r="T18" i="16"/>
  <c r="AP18" i="20"/>
  <c r="BG21" i="11"/>
  <c r="BU25" i="17"/>
  <c r="BV28" i="16"/>
  <c r="BV13"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X31" i="21" s="1"/>
  <c r="L20" i="2"/>
  <c r="U9" i="17"/>
  <c r="U31" i="17" s="1"/>
  <c r="V10" i="16"/>
  <c r="V9" i="16"/>
  <c r="X13" i="16"/>
  <c r="BH9" i="16"/>
  <c r="BF13" i="11"/>
  <c r="BH16" i="16"/>
  <c r="BF28" i="11"/>
  <c r="BG20" i="11"/>
  <c r="BK29" i="11"/>
  <c r="BK11" i="11"/>
  <c r="AP10" i="21"/>
  <c r="BH20" i="16"/>
  <c r="BH22" i="16"/>
  <c r="BJ20" i="11"/>
  <c r="AZ13" i="11"/>
  <c r="BH28" i="16"/>
  <c r="V29" i="11"/>
  <c r="V22" i="11"/>
  <c r="AZ21" i="11"/>
  <c r="BM20" i="11"/>
  <c r="BJ28" i="11"/>
  <c r="BU28" i="17"/>
  <c r="BU11" i="17"/>
  <c r="BW9" i="20"/>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BL20" i="11"/>
  <c r="BF12" i="11"/>
  <c r="BL16" i="11"/>
  <c r="BH25" i="16"/>
  <c r="BH21" i="11"/>
  <c r="BK20" i="11"/>
  <c r="AZ25" i="11"/>
  <c r="AZ30" i="11" s="1"/>
  <c r="BJ10" i="11"/>
  <c r="BK17" i="11"/>
  <c r="Q16" i="17"/>
  <c r="Q23" i="17" s="1"/>
  <c r="Q31" i="17" s="1"/>
  <c r="BM18" i="11"/>
  <c r="BF16" i="11"/>
  <c r="BH17" i="11"/>
  <c r="BL22" i="11"/>
  <c r="AQ12" i="21"/>
  <c r="BI22" i="11"/>
  <c r="BH25" i="11"/>
  <c r="BK10" i="11"/>
  <c r="BI21" i="11"/>
  <c r="L10" i="2"/>
  <c r="L28" i="2"/>
  <c r="X21" i="20"/>
  <c r="L16" i="2"/>
  <c r="L17" i="2"/>
  <c r="L18" i="2"/>
  <c r="X16" i="16"/>
  <c r="X23" i="16" s="1"/>
  <c r="AA11" i="16"/>
  <c r="L9" i="2"/>
  <c r="V25" i="16"/>
  <c r="T28" i="11"/>
  <c r="T19" i="11"/>
  <c r="R28" i="14"/>
  <c r="R18" i="14"/>
  <c r="S28" i="14"/>
  <c r="V28" i="14" s="1"/>
  <c r="S21" i="14"/>
  <c r="V21" i="14" s="1"/>
  <c r="S10" i="14"/>
  <c r="V10"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S23" i="16"/>
  <c r="BS26" i="16" s="1"/>
  <c r="AD14" i="16"/>
  <c r="AD31" i="16" s="1"/>
  <c r="Q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Q21" i="11"/>
  <c r="P29"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Q28" i="11"/>
  <c r="X14" i="16"/>
  <c r="BK23" i="11"/>
  <c r="BV23" i="16"/>
  <c r="BV26" i="16" s="1"/>
  <c r="BV30" i="16" s="1"/>
  <c r="P21" i="11"/>
  <c r="P17" i="11"/>
  <c r="BH23" i="11"/>
  <c r="AA31" i="11"/>
  <c r="X26" i="16"/>
  <c r="BH14" i="11"/>
  <c r="BI23" i="11"/>
  <c r="BK14" i="11"/>
  <c r="BF23" i="11"/>
  <c r="P23" i="17"/>
  <c r="P31" i="17" s="1"/>
  <c r="Q20" i="11"/>
  <c r="BU33" i="17"/>
  <c r="AZ26" i="11"/>
  <c r="Q16" i="11"/>
  <c r="P18" i="11"/>
  <c r="Q9" i="11"/>
  <c r="P9" i="11"/>
  <c r="BL23" i="11"/>
  <c r="P16" i="11"/>
  <c r="P20" i="11"/>
  <c r="R31" i="20"/>
  <c r="S23" i="16"/>
  <c r="S31" i="16" s="1"/>
  <c r="R14" i="21"/>
  <c r="R31" i="21" s="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<sst xmlns="http://schemas.openxmlformats.org/spreadsheetml/2006/main" count="2668" uniqueCount="1192">
  <si>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</si>
  <si>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</si>
  <si>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</si>
  <si>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</si>
  <si>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</si>
  <si>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</si>
  <si>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</si>
  <si>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</si>
  <si>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</si>
  <si>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</si>
  <si>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</si>
  <si>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</si>
  <si>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</si>
  <si>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</si>
  <si>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</si>
  <si>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</si>
  <si>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</si>
  <si>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</si>
  <si>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</si>
  <si>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</si>
  <si>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</si>
  <si>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</si>
  <si>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</si>
  <si>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</si>
  <si>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</si>
  <si>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</si>
  <si>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</si>
  <si>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</si>
  <si>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</si>
  <si>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</si>
  <si>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</si>
  <si>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</si>
  <si>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</si>
  <si>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</si>
  <si>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</si>
  <si>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</si>
  <si>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</si>
  <si>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</si>
  <si>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</si>
  <si>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</si>
  <si>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</si>
  <si>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</si>
  <si>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</si>
  <si>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</si>
  <si>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</si>
  <si>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</si>
  <si>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</si>
  <si>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</si>
  <si>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</si>
  <si>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</si>
  <si>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</si>
  <si>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</si>
  <si>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</si>
  <si>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</si>
  <si>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</si>
  <si>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</si>
  <si>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</si>
  <si>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</si>
  <si>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</si>
  <si>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</si>
  <si>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</si>
  <si>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</si>
  <si>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</si>
  <si>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</si>
  <si>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</si>
  <si>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</si>
  <si>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</si>
  <si>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</si>
  <si>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</si>
  <si>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</si>
  <si>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</si>
  <si>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</si>
  <si>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</si>
  <si>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</si>
  <si>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</si>
  <si>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</si>
  <si>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</si>
  <si>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</si>
  <si>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</si>
  <si>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</si>
  <si>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</si>
  <si>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</si>
  <si>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</si>
  <si>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</si>
  <si>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</si>
  <si>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</si>
  <si>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</si>
  <si>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</si>
  <si>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</si>
  <si>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</si>
  <si>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</si>
  <si>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</si>
  <si>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</si>
  <si>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</si>
  <si>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</si>
  <si>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</si>
  <si>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</si>
  <si>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</si>
  <si>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</si>
  <si>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</si>
  <si>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</si>
  <si>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</si>
  <si>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</si>
  <si>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</si>
  <si>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</si>
  <si>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</si>
  <si>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</si>
  <si>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</si>
  <si>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</si>
  <si>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</si>
  <si>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</si>
  <si>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</si>
  <si>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</si>
  <si>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</si>
  <si>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</si>
  <si>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</si>
  <si>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</si>
  <si>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</si>
  <si>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</si>
  <si>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</si>
  <si>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</si>
  <si>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</si>
  <si>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</si>
  <si>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</si>
  <si>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</si>
  <si>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</si>
  <si>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</si>
  <si>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</si>
  <si>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</si>
  <si>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</si>
  <si>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</si>
  <si>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</si>
  <si>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</si>
  <si>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</si>
  <si>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</si>
  <si>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</si>
  <si>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</si>
  <si>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</si>
  <si>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</si>
  <si>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</si>
  <si>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</si>
  <si>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</si>
  <si>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</si>
  <si>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</si>
  <si>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</si>
  <si>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</si>
  <si>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</si>
  <si>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</si>
  <si>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</si>
  <si>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</si>
  <si>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</si>
  <si>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</si>
  <si>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</si>
  <si>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</si>
  <si>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</si>
  <si>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</si>
  <si>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</si>
  <si>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</si>
  <si>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</si>
  <si>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</si>
  <si>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</si>
  <si>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</si>
  <si>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</si>
  <si>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</si>
  <si>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</si>
  <si>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</si>
  <si>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</si>
  <si>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</si>
  <si>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</si>
  <si>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</si>
  <si>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</si>
  <si>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</si>
  <si>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</si>
  <si>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</si>
  <si>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</si>
  <si>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</si>
  <si>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</si>
  <si>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</si>
  <si>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</si>
  <si>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</si>
  <si>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</si>
  <si>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</si>
  <si>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</si>
  <si>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</si>
  <si>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</si>
  <si>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</si>
  <si>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</si>
  <si>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</si>
  <si>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</si>
  <si>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</si>
  <si>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</si>
  <si>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</si>
  <si>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</si>
  <si>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</si>
  <si>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</si>
  <si>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</si>
  <si>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</si>
  <si>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</si>
  <si>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</si>
  <si>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</si>
  <si>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</si>
  <si>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</si>
  <si>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</si>
  <si>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</si>
  <si>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</si>
  <si>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</si>
  <si>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</si>
  <si>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</si>
  <si>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</si>
  <si>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</si>
  <si>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</si>
  <si>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</si>
  <si>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</si>
  <si>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</si>
  <si>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</si>
  <si>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</si>
  <si>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</si>
  <si>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</si>
  <si>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</si>
  <si>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</si>
  <si>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</si>
  <si>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</si>
  <si>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</si>
  <si>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</si>
  <si>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</si>
  <si>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</si>
  <si>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</si>
  <si>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</si>
  <si>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</si>
  <si>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</si>
  <si>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</si>
  <si>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</si>
  <si>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</si>
  <si>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</si>
  <si>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</si>
  <si>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</si>
  <si>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</si>
  <si>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</si>
  <si>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</si>
  <si>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</si>
  <si>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</si>
  <si>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</si>
  <si>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</si>
  <si>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</si>
  <si>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</si>
  <si>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</si>
  <si>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</si>
  <si>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</si>
  <si>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</si>
  <si>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</si>
  <si>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</si>
  <si>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</si>
  <si>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</si>
  <si>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</si>
  <si>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</si>
  <si>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</si>
  <si>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</si>
  <si>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</si>
  <si>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</si>
  <si>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</si>
  <si>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</si>
  <si>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</si>
  <si>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</si>
  <si>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</si>
  <si>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</si>
  <si>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</si>
  <si>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</si>
  <si>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</si>
  <si>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</si>
  <si>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</si>
  <si>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</si>
  <si>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</si>
  <si>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</si>
  <si>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</si>
  <si>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</si>
  <si>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</si>
  <si>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</si>
  <si>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</si>
  <si>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</si>
  <si>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</si>
  <si>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</si>
  <si>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</si>
  <si>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</si>
  <si>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</si>
  <si>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</si>
  <si>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</si>
  <si>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</si>
  <si>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</si>
  <si>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</si>
  <si>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</si>
  <si>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</si>
  <si>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</si>
  <si>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</si>
  <si>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</si>
  <si>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</si>
  <si>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</si>
  <si>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</si>
  <si>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</si>
  <si>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</si>
  <si>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</si>
  <si>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</si>
  <si>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</si>
  <si>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</si>
  <si>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</si>
  <si>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</si>
  <si>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</si>
  <si>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</si>
  <si>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</si>
  <si>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</si>
  <si>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</si>
  <si>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</si>
  <si>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</si>
  <si>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</si>
  <si>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</si>
  <si>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</si>
  <si>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</si>
  <si>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</si>
  <si>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</si>
  <si>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</si>
  <si>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</si>
  <si>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</si>
  <si>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</si>
  <si>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</si>
  <si>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</si>
  <si>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</si>
  <si>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</si>
  <si>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</si>
  <si>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</si>
  <si>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</si>
  <si>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</si>
  <si>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</si>
  <si>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</si>
  <si>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</si>
  <si>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</si>
  <si>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</si>
  <si>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</si>
  <si>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</si>
  <si>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</si>
  <si>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</si>
  <si>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</si>
  <si>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</si>
  <si>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</si>
  <si>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</si>
  <si>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</si>
  <si>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</si>
  <si>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</si>
  <si>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</si>
  <si>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</si>
  <si>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</si>
  <si>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</si>
  <si>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</si>
  <si>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</si>
  <si>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</si>
  <si>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</si>
  <si>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</si>
  <si>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</si>
  <si>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</si>
  <si>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</si>
  <si>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</si>
  <si>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</si>
  <si>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</si>
  <si>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</si>
  <si>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</si>
  <si>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</si>
  <si>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</si>
  <si>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</si>
  <si>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</si>
  <si>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</si>
  <si>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</si>
  <si>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</si>
  <si>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</si>
  <si>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</si>
  <si>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</si>
  <si>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</si>
  <si>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</si>
  <si>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</si>
  <si>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</si>
  <si>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</si>
  <si>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</si>
  <si>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</si>
  <si>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</si>
  <si>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</si>
  <si>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</si>
  <si>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</si>
  <si>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</si>
  <si>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</si>
  <si>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</si>
  <si>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</si>
  <si>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</si>
  <si>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</si>
  <si>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</si>
  <si>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</si>
  <si>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</si>
  <si>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</si>
  <si>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</si>
  <si>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</si>
  <si>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</si>
  <si>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</si>
  <si>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</si>
  <si>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</si>
  <si>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</si>
  <si>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</si>
  <si>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</si>
  <si>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</si>
  <si>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</si>
  <si>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</si>
  <si>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</si>
  <si>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</si>
  <si>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</si>
  <si>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</si>
  <si>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</si>
  <si>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</si>
  <si>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</si>
  <si>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</si>
  <si>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</si>
  <si>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</si>
  <si>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</si>
  <si>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</si>
  <si>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</si>
  <si>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</si>
  <si>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</si>
  <si>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</si>
  <si>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</si>
  <si>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</si>
  <si>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</si>
  <si>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</si>
  <si>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</si>
  <si>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</si>
  <si>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</si>
  <si>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</si>
  <si>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</si>
  <si>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</si>
  <si>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</si>
  <si>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</si>
  <si>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</si>
  <si>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</si>
  <si>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</si>
  <si>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</si>
  <si>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</si>
  <si>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</si>
  <si>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</si>
  <si>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</si>
  <si>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</si>
  <si>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</si>
  <si>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</si>
  <si>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</si>
  <si>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</si>
  <si>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</si>
  <si>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</si>
  <si>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</si>
  <si>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</si>
  <si>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</si>
  <si>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</si>
  <si>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</si>
  <si>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</si>
  <si>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</si>
  <si>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</si>
  <si>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</si>
  <si>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</si>
  <si>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</si>
  <si>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</si>
  <si>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</si>
  <si>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</si>
  <si>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</si>
  <si>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</si>
  <si>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</si>
  <si>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</si>
  <si>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</si>
  <si>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</si>
  <si>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</si>
  <si>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</si>
  <si>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</si>
  <si>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</si>
  <si>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</si>
  <si>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</si>
  <si>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</si>
  <si>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</si>
  <si>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</si>
  <si>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</si>
  <si>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</si>
  <si>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</si>
  <si>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</si>
  <si>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</si>
  <si>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</si>
  <si>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</si>
  <si>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</si>
  <si>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</si>
  <si>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</si>
  <si>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</si>
  <si>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</si>
  <si>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</si>
  <si>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</si>
  <si>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</si>
  <si>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</si>
  <si>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</si>
  <si>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</si>
  <si>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</si>
  <si>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</si>
  <si>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</si>
  <si>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</si>
  <si>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</si>
  <si>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</si>
  <si>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</si>
  <si>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</si>
  <si>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</si>
  <si>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</si>
  <si>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</si>
  <si>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</si>
  <si>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</si>
  <si>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</si>
  <si>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</si>
  <si>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</si>
  <si>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</si>
  <si>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</si>
  <si>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</si>
  <si>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</si>
  <si>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</si>
  <si>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</si>
  <si>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</si>
  <si>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</si>
  <si>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</si>
  <si>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</si>
  <si>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</si>
  <si>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</si>
  <si>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</si>
  <si>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</si>
  <si>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</si>
  <si>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</si>
  <si>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</si>
  <si>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</si>
  <si>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</si>
  <si>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</si>
  <si>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</si>
  <si>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</si>
  <si>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</si>
  <si>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</si>
  <si>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</si>
  <si>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</si>
  <si>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</si>
  <si>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</si>
  <si>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</si>
  <si>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</si>
  <si>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</si>
  <si>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</si>
  <si>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</si>
  <si>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</si>
  <si>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</si>
  <si>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</si>
  <si>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</si>
  <si>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</si>
  <si>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</si>
  <si>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</si>
  <si>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</si>
  <si>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</si>
  <si>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</si>
  <si>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</si>
  <si>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</si>
  <si>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</si>
  <si>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</si>
  <si>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</si>
  <si>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</si>
  <si>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</si>
  <si>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</si>
  <si>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</si>
  <si>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</si>
  <si>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</si>
  <si>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</si>
  <si>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</si>
  <si>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</si>
  <si>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</si>
  <si>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</si>
  <si>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</si>
  <si>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</si>
  <si>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</si>
  <si>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</si>
  <si>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</si>
  <si>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</si>
  <si>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</si>
  <si>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</si>
  <si>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</si>
  <si>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</si>
  <si>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</si>
  <si>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</si>
  <si>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</si>
  <si>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</si>
  <si>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</si>
  <si>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</si>
  <si>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</si>
  <si>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</si>
  <si>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</si>
  <si>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</si>
  <si>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</si>
  <si>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</si>
  <si>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</si>
  <si>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</si>
  <si>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</si>
  <si>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</si>
  <si>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</si>
  <si>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</si>
  <si>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</si>
  <si>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</si>
  <si>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</si>
  <si>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</si>
  <si>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</si>
  <si>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</si>
  <si>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</si>
  <si>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</si>
  <si>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</si>
  <si>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</si>
  <si>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</si>
  <si>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</si>
  <si>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</si>
  <si>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</si>
  <si>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</si>
  <si>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</si>
  <si>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</si>
  <si>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</si>
  <si>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</si>
  <si>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</si>
  <si>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</si>
  <si>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</si>
  <si>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</si>
  <si>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</si>
  <si>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</si>
  <si>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</si>
  <si>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</si>
  <si>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</si>
  <si>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</si>
  <si>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</si>
  <si>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</si>
  <si>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</si>
  <si>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</si>
  <si>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</si>
  <si>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</si>
  <si>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</si>
  <si>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</si>
  <si>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</si>
  <si>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</si>
  <si>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</si>
  <si>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</si>
  <si>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</si>
  <si>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</si>
  <si>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</si>
  <si>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</si>
  <si>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</si>
  <si>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</si>
  <si>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</si>
  <si>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</si>
  <si>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</si>
  <si>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</si>
  <si>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</si>
  <si>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</si>
  <si>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</si>
  <si>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</si>
  <si>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</si>
  <si>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</si>
  <si>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</si>
  <si>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</si>
  <si>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</si>
  <si>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</si>
  <si>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</si>
  <si>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</si>
  <si>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</si>
  <si>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</si>
  <si>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</si>
  <si>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</si>
  <si>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</si>
  <si>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</si>
  <si>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</si>
  <si>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</si>
  <si>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</si>
  <si>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</si>
  <si>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</si>
  <si>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</si>
  <si>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</si>
  <si>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</si>
  <si>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</si>
  <si>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</si>
  <si>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</si>
  <si>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</si>
  <si>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</si>
  <si>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</si>
  <si>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</si>
  <si>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</si>
  <si>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</si>
  <si>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</si>
  <si>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</si>
  <si>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</si>
  <si>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</si>
  <si>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</si>
  <si>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</si>
  <si>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</si>
  <si>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</si>
  <si>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</si>
  <si>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</si>
  <si>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</si>
  <si>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</si>
  <si>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</si>
  <si>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</si>
  <si>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</si>
  <si>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</si>
  <si>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</si>
  <si>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</si>
  <si>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</si>
  <si>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</si>
  <si>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</si>
  <si>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</si>
  <si>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</si>
  <si>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</si>
  <si>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</si>
  <si>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</si>
  <si>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</si>
  <si>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</si>
  <si>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</si>
  <si>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</si>
  <si>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</si>
  <si>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</si>
  <si>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</si>
  <si>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</si>
  <si>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</si>
  <si>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</si>
  <si>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</si>
  <si>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</si>
  <si>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</si>
  <si>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</si>
  <si>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</si>
  <si>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</si>
  <si>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</si>
  <si>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</si>
  <si>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</si>
  <si>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</si>
  <si>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</si>
  <si>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</si>
  <si>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</si>
  <si>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</si>
  <si>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</si>
  <si>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</si>
  <si>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</si>
  <si>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</si>
  <si>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</si>
  <si>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</si>
  <si>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</si>
  <si>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</si>
  <si>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</si>
  <si>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</si>
  <si>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</si>
  <si>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</si>
  <si>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</si>
  <si>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</si>
  <si>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</si>
  <si>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</si>
  <si>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</si>
  <si>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</si>
  <si>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</si>
  <si>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</si>
  <si>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</si>
  <si>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</si>
  <si>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</si>
  <si>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</si>
  <si>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</si>
  <si>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</si>
  <si>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</si>
  <si>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</si>
  <si>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</si>
  <si>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</si>
  <si>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</si>
  <si>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</si>
  <si>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</si>
  <si>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</si>
  <si>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</si>
  <si>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</si>
  <si>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</si>
  <si>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</si>
  <si>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</si>
  <si>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</si>
  <si>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</si>
  <si>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</si>
  <si>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</si>
  <si>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</si>
  <si>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</si>
  <si>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</si>
  <si>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</si>
  <si>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</si>
  <si>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</si>
  <si>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</si>
  <si>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</si>
  <si>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</si>
  <si>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</si>
  <si>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</si>
  <si>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</si>
  <si>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</si>
  <si>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</si>
  <si>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</si>
  <si>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</si>
  <si>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</si>
  <si>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</si>
  <si>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</si>
  <si>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</si>
  <si>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</si>
  <si>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</si>
  <si>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</si>
  <si>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</si>
  <si>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</si>
  <si>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</si>
  <si>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</si>
  <si>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</si>
  <si>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</si>
  <si>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</si>
  <si>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</si>
  <si>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</si>
  <si>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</si>
  <si>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</si>
  <si>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</si>
  <si>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</si>
  <si>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</si>
  <si>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</si>
  <si>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</si>
  <si>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</si>
  <si>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</si>
  <si>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</si>
  <si>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</si>
  <si>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</si>
  <si>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</si>
  <si>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</si>
  <si>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</si>
  <si>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</si>
  <si>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</si>
  <si>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</si>
  <si>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</si>
  <si>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</si>
  <si>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</si>
  <si>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</si>
  <si>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</si>
  <si>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</si>
  <si>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</si>
  <si>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</si>
  <si>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</si>
  <si>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</si>
  <si>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</si>
  <si>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</si>
  <si>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</si>
  <si>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</si>
  <si>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</si>
  <si>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</si>
  <si>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</si>
  <si>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</si>
  <si>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</si>
  <si>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</si>
  <si>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</si>
  <si>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</si>
  <si>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</si>
  <si>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</si>
  <si>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</si>
  <si>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</si>
  <si>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</si>
  <si>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</si>
  <si>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</si>
  <si>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</si>
  <si>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</si>
  <si>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</si>
  <si>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</si>
  <si>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</si>
  <si>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</si>
  <si>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</si>
  <si>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</si>
  <si>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</si>
  <si>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</si>
  <si>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</si>
  <si>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</si>
  <si>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</si>
  <si>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</si>
  <si>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</si>
  <si>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</si>
  <si>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</si>
  <si>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</si>
  <si>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</si>
  <si>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</si>
  <si>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</si>
  <si>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</si>
  <si>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</si>
  <si>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</si>
  <si>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</si>
  <si>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</si>
  <si>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</si>
  <si>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</si>
  <si>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</si>
  <si>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</si>
  <si>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</si>
  <si>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</si>
  <si>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</si>
  <si>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</si>
  <si>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</si>
  <si>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</si>
  <si>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</si>
  <si>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</si>
  <si>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</si>
  <si>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</si>
  <si>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</si>
  <si>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</si>
  <si>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</si>
  <si>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</si>
  <si>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</si>
  <si>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</si>
  <si>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</si>
  <si>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</si>
  <si>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</si>
  <si>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</si>
  <si>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</si>
  <si>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</si>
  <si>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</si>
  <si>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</si>
  <si>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</si>
  <si>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</si>
  <si>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</si>
  <si>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</si>
  <si>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</si>
  <si>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</si>
  <si>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</si>
  <si>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</si>
  <si>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</si>
  <si>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</si>
  <si>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</si>
  <si>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</si>
  <si>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</si>
  <si>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</si>
  <si>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</si>
  <si>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</si>
  <si>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</si>
  <si>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</si>
  <si>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</si>
  <si>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</si>
  <si>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</si>
  <si>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</si>
  <si>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</si>
  <si>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</si>
  <si>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</si>
  <si>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</si>
  <si>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</si>
  <si>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</si>
  <si>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</si>
  <si>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</si>
  <si>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</si>
  <si>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</si>
  <si>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</si>
  <si>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</si>
  <si>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</si>
  <si>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</si>
  <si>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</si>
  <si>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</si>
  <si>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</si>
  <si>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</si>
  <si>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</si>
  <si>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</si>
  <si>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</si>
  <si>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</si>
  <si>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</si>
  <si>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</si>
  <si>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</si>
  <si>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</si>
  <si>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</si>
  <si>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</si>
  <si>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</si>
  <si>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</si>
  <si>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</si>
  <si>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</si>
  <si>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</si>
  <si>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</si>
  <si>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</si>
  <si>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</si>
  <si>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</si>
  <si>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</si>
  <si>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</si>
  <si>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</si>
  <si>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</si>
  <si>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</si>
  <si>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</si>
  <si>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</si>
  <si>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</si>
  <si>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</si>
  <si>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</si>
  <si>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</si>
  <si>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</si>
  <si>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</si>
  <si>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</si>
  <si>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</si>
  <si>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</si>
  <si>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</si>
  <si>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</si>
  <si>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</si>
  <si>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</si>
  <si>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</si>
  <si>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</si>
  <si>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</si>
  <si>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</si>
  <si>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</si>
  <si>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</si>
  <si>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</si>
  <si>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</si>
  <si>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</si>
  <si>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</si>
  <si>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</si>
  <si>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</si>
  <si>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</si>
  <si>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</si>
  <si>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</si>
  <si>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</si>
  <si>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</si>
  <si>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</si>
  <si>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</si>
  <si>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</si>
  <si>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</si>
  <si>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</si>
  <si>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</si>
  <si>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</si>
  <si>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</si>
  <si>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</si>
  <si>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</si>
  <si>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</si>
  <si>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</si>
  <si>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</si>
  <si>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</si>
  <si>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</si>
  <si>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</si>
  <si>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</si>
  <si>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</si>
  <si>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</si>
  <si>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</si>
  <si>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</si>
  <si>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</si>
  <si>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</si>
  <si>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</si>
  <si>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</si>
  <si>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</si>
  <si>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</si>
  <si>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</si>
  <si>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</si>
  <si>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</si>
  <si>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</si>
  <si>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</si>
  <si>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</si>
  <si>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</si>
  <si>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</si>
  <si>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</si>
  <si>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</si>
  <si>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</si>
  <si>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</si>
  <si>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</si>
  <si>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</si>
  <si>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</si>
  <si>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</si>
  <si>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</si>
  <si>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</si>
  <si>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</si>
  <si>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</si>
  <si>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</si>
  <si>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</si>
  <si>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</si>
  <si>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</si>
  <si>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</si>
  <si>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</si>
  <si>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</si>
  <si>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</si>
  <si>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</si>
  <si>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</si>
  <si>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</si>
  <si>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</si>
  <si>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</si>
  <si>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</si>
  <si>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</si>
  <si>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</si>
  <si>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</si>
  <si>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</si>
  <si>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</si>
  <si>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</si>
  <si>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</si>
  <si>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</si>
  <si>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</si>
  <si>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</si>
  <si>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</si>
  <si>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</si>
  <si>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</si>
  <si>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</si>
  <si>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</si>
  <si>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</si>
  <si>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</si>
  <si>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</si>
  <si>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</si>
  <si>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</si>
  <si>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</si>
  <si>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</si>
  <si>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</si>
  <si>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</si>
  <si>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</si>
  <si>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</si>
  <si>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</si>
  <si>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</si>
  <si>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</si>
  <si>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</si>
  <si>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</si>
  <si>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</si>
  <si>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</si>
  <si>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</si>
  <si>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</si>
  <si>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</si>
  <si>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</si>
  <si>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</si>
  <si>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</si>
  <si>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</si>
  <si>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</si>
  <si>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</si>
  <si>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</si>
  <si>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</si>
  <si>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</si>
  <si>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</si>
  <si>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</si>
  <si>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</si>
  <si>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</si>
  <si>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</si>
  <si>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</si>
  <si>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</si>
  <si>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</si>
  <si>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</si>
  <si>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</si>
  <si>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</si>
  <si>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</si>
  <si>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</si>
  <si>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</si>
  <si>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</si>
  <si>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</si>
  <si>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</si>
  <si>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</si>
  <si>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</si>
  <si>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</si>
  <si>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</si>
  <si>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</si>
  <si>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</si>
  <si>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</si>
  <si>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</si>
  <si>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</si>
  <si>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</si>
  <si>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</si>
  <si>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</si>
  <si>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</si>
  <si>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</si>
  <si>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</si>
  <si>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</si>
  <si>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</si>
  <si>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</si>
  <si>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</si>
  <si>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</si>
  <si>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</si>
  <si>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</si>
  <si>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</si>
  <si>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</si>
  <si>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</si>
  <si>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</si>
  <si>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</si>
  <si>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</si>
  <si>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</si>
  <si>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</si>
  <si>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</si>
  <si>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</si>
  <si>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</si>
  <si>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</si>
  <si>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</si>
  <si>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</si>
  <si>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</si>
  <si>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</si>
  <si>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</si>
  <si>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</si>
  <si>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</si>
  <si>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</si>
  <si>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</si>
  <si>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</si>
  <si>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</si>
  <si>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</si>
  <si>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</si>
  <si>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</si>
  <si>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</si>
  <si>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</si>
  <si>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</si>
  <si>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</si>
  <si>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</si>
  <si>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</si>
  <si>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</si>
  <si>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</si>
  <si>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</si>
  <si>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</si>
  <si>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MADRID</t>
  </si>
  <si>
    <t>Provincias</t>
  </si>
  <si>
    <t>Resumenes por Partidos Judiciales</t>
  </si>
  <si>
    <t>MOSTOLES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</si>
</sst>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CI3ePbFfRkDI5bzOo3tcF9XKIwoZb3ke4bBgYdj1PFGVHv4kHJo8v2SsJ+zHXsSVopzHN2qS/S1z/coyNYk1sg==" saltValue="i9RjUMXvNpugit3V6DAD8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MADRID</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6</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20.861706197398622</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73</v>
      </c>
      <c r="D10" s="239">
        <f>IF(ISNUMBER(Datos!I10),Datos!I10," - ")</f>
        <v>73</v>
      </c>
      <c r="E10" s="240">
        <f>IF(ISNUMBER(Datos!J10),Datos!J10," - ")</f>
        <v>54</v>
      </c>
      <c r="F10" s="240">
        <f>IF(ISNUMBER(Datos!K10),Datos!K10," - ")</f>
        <v>37</v>
      </c>
      <c r="G10" s="1390" t="str">
        <f>IF(Datos!E10&lt;&gt;"",Datos!E10,Datos!D10)</f>
        <v>37</v>
      </c>
      <c r="H10" s="241">
        <f>IF(ISNUMBER(Datos!L10),Datos!L10," - ")</f>
        <v>90</v>
      </c>
      <c r="I10" s="1400" t="str">
        <f>IF(ISNUMBER(Datos!AS10/Datos!BM10),Datos!AS10/Datos!BM10," - ")</f>
        <v xml:space="preserve"> - </v>
      </c>
      <c r="J10" s="1401">
        <f>IF(ISNUMBER(Datos!BY10/Datos!CN10),Datos!BY10/Datos!CN10," - ")</f>
        <v>0</v>
      </c>
      <c r="K10" s="244">
        <f t="shared" ref="K10:K13" si="1">IF(ISNUMBER((E10-F10)/C10),(E10-F10)/C10," - ")</f>
        <v>0.23287671232876711</v>
      </c>
      <c r="L10" s="1402">
        <f>IF(ISNUMBER(NºAsuntos!I10/NºAsuntos!G10),(NºAsuntos!I10/NºAsuntos!G10)*11," - ")</f>
        <v>26.756756756756758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17.234421364985163</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73</v>
      </c>
      <c r="D14" s="1407">
        <f>SUBTOTAL(9,D9:D13)</f>
        <v>73</v>
      </c>
      <c r="E14" s="1408">
        <f>SUBTOTAL(9,E9:E13)</f>
        <v>54</v>
      </c>
      <c r="F14" s="1409">
        <f>SUBTOTAL(9,F9:F13)</f>
        <v>37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6</v>
      </c>
      <c r="B16" s="1461" t="str">
        <f>Datos!A16</f>
        <v xml:space="preserve">Jdos. Instrucción                               </v>
      </c>
      <c r="C16" s="239">
        <f t="shared" ref="C16:C22" si="2">IF(ISNUMBER(H16-E16+F16),H16-E16+F16," - ")</f>
        <v>1852</v>
      </c>
      <c r="D16" s="239">
        <f>IF(ISNUMBER(IF(D_I="SI",Datos!I16,Datos!I16+Datos!AC16)),IF(D_I="SI",Datos!I16,Datos!I16+Datos!AC16)," - ")</f>
        <v>1809</v>
      </c>
      <c r="E16" s="240">
        <f>IF(ISNUMBER(IF(D_I="SI",Datos!J16,Datos!J16+Datos!AD16)),IF(D_I="SI",Datos!J16,Datos!J16+Datos!AD16)," - ")</f>
        <v>3251</v>
      </c>
      <c r="F16" s="240">
        <f>IF(ISNUMBER(IF(D_I="SI",Datos!K16,Datos!K16+Datos!AE16)),IF(D_I="SI",Datos!K16,Datos!K16+Datos!AE16)," - ")</f>
        <v>3307</v>
      </c>
      <c r="G16" s="1390" t="str">
        <f>IF(Datos!E16&lt;&gt;"",Datos!E16,Datos!D16)</f>
        <v>03</v>
      </c>
      <c r="H16" s="241">
        <f>IF(ISNUMBER(IF(D_I="SI",Datos!L16,Datos!L16+Datos!AF16)),IF(D_I="SI",Datos!L16,Datos!L16+Datos!AF16)," - ")</f>
        <v>1796</v>
      </c>
      <c r="I16" s="1400" t="str">
        <f>IF(ISNUMBER(Datos!AS16/Datos!BM16),Datos!AS16/Datos!BM16," - ")</f>
        <v xml:space="preserve"> - </v>
      </c>
      <c r="J16" s="1401">
        <f>IF(ISNUMBER(Datos!BY16/Datos!CN16),Datos!BY16/Datos!CN16," - ")</f>
        <v>0</v>
      </c>
      <c r="K16" s="244">
        <f t="shared" ref="K16:K22" si="3">IF(ISNUMBER((E16-F16)/C16),(E16-F16)/C16," - ")</f>
        <v>-3.0237580993520519E-2</v>
      </c>
      <c r="L16" s="1402">
        <f>IF(ISNUMBER(NºAsuntos!I16/NºAsuntos!G16),(NºAsuntos!I16/NºAsuntos!G16)*11," - ")</f>
        <v>5.9739945570003021</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311</v>
      </c>
      <c r="D18" s="239">
        <f>IF(ISNUMBER(IF(D_I="SI",Datos!I18,Datos!I18+Datos!AC18)),IF(D_I="SI",Datos!I18,Datos!I18+Datos!AC18)," - ")</f>
        <v>311</v>
      </c>
      <c r="E18" s="240">
        <f>IF(ISNUMBER(IF(D_I="SI",Datos!J18,Datos!J18+Datos!AD18)),IF(D_I="SI",Datos!J18,Datos!J18+Datos!AD18)," - ")</f>
        <v>438</v>
      </c>
      <c r="F18" s="240">
        <f>IF(ISNUMBER(IF(D_I="SI",Datos!K18,Datos!K18+Datos!AE18)),IF(D_I="SI",Datos!K18,Datos!K18+Datos!AE18)," - ")</f>
        <v>404</v>
      </c>
      <c r="G18" s="1390" t="str">
        <f>IF(Datos!E18&lt;&gt;"",Datos!E18,Datos!D18)</f>
        <v>37</v>
      </c>
      <c r="H18" s="241">
        <f>IF(ISNUMBER(IF(D_I="SI",Datos!L18,Datos!L18+Datos!AF18)),IF(D_I="SI",Datos!L18,Datos!L18+Datos!AF18)," - ")</f>
        <v>345</v>
      </c>
      <c r="I18" s="1400" t="str">
        <f>IF(ISNUMBER(Datos!AS18/Datos!BM18),Datos!AS18/Datos!BM18," - ")</f>
        <v xml:space="preserve"> - </v>
      </c>
      <c r="J18" s="1401" t="str">
        <f>IF(ISNUMBER((Datos!BY18+Datos!BZ18)/Datos!CN18),(Datos!BY18+Datos!BZ18)/Datos!CN18," - ")</f>
        <v xml:space="preserve"> - </v>
      </c>
      <c r="K18" s="244">
        <f t="shared" si="3"/>
        <v>0.10932475884244373</v>
      </c>
      <c r="L18" s="1402">
        <f>IF(ISNUMBER(NºAsuntos!I18/NºAsuntos!G18),(NºAsuntos!I18/NºAsuntos!G18)*11," - ")</f>
        <v>9.3935643564356432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2163</v>
      </c>
      <c r="D23" s="1407">
        <f>SUBTOTAL(9,D16:D22)</f>
        <v>2120</v>
      </c>
      <c r="E23" s="1408">
        <f>SUBTOTAL(9,E16:E22)</f>
        <v>3689</v>
      </c>
      <c r="F23" s="1408">
        <f>SUBTOTAL(9,F16:F22)</f>
        <v>3711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2236</v>
      </c>
      <c r="D31" s="1435">
        <f>SUBTOTAL(9,D9:D30)</f>
        <v>2193</v>
      </c>
      <c r="E31" s="1436">
        <f>SUBTOTAL(9,E9:E30)</f>
        <v>3743</v>
      </c>
      <c r="F31" s="1436">
        <f>SUBTOTAL(9,F9:F30)</f>
        <v>3748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qu/TdK2WJcbpBHIgDdNCNnHSKxBC/yPtj0i7yrHB6NYVII8ddQaSXGW+8dH7skTvXRD+g6KynQDQPZ0iViPeKw==" saltValue="QCDcmPdTvzCYl8m5SUTDz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EmH20xiTU5vNh5JMbpSKkkUfbCeqhWVa0+tsyGlAtgn9QIS24W2C18GzDmW8PKoKSKVQeV6jPAcMZ1+epVWzUA==" saltValue="L2KYfGPHXCfiuNrqjfixA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10445</v>
      </c>
      <c r="J9" s="194">
        <v>4329</v>
      </c>
      <c r="K9" s="194">
        <v>5051</v>
      </c>
      <c r="L9" s="194">
        <v>9723</v>
      </c>
      <c r="M9" s="194">
        <v>1725</v>
      </c>
      <c r="N9" s="194">
        <v>2473</v>
      </c>
      <c r="O9" s="194">
        <v>1183</v>
      </c>
      <c r="P9" s="194">
        <v>661</v>
      </c>
      <c r="Q9" s="194">
        <v>809</v>
      </c>
      <c r="R9" s="194">
        <v>12049</v>
      </c>
      <c r="S9" s="194">
        <v>10657</v>
      </c>
      <c r="T9" s="194">
        <v>4024</v>
      </c>
      <c r="U9" s="194">
        <v>3679</v>
      </c>
      <c r="V9" s="194">
        <v>11002</v>
      </c>
      <c r="W9" s="194">
        <v>1096</v>
      </c>
      <c r="X9" s="201">
        <v>1951</v>
      </c>
      <c r="Y9" s="204">
        <v>215</v>
      </c>
      <c r="Z9" s="194">
        <v>154</v>
      </c>
      <c r="AA9" s="194">
        <v>177</v>
      </c>
      <c r="AB9" s="194">
        <v>192</v>
      </c>
      <c r="AC9" s="194">
        <v>0</v>
      </c>
      <c r="AD9" s="194">
        <v>0</v>
      </c>
      <c r="AE9" s="194">
        <v>0</v>
      </c>
      <c r="AF9" s="201">
        <v>0</v>
      </c>
      <c r="AG9" s="204">
        <v>195</v>
      </c>
      <c r="AH9" s="194">
        <v>124</v>
      </c>
      <c r="AI9" s="194">
        <v>134</v>
      </c>
      <c r="AJ9" s="205">
        <v>169</v>
      </c>
      <c r="AK9" s="193">
        <v>0</v>
      </c>
      <c r="AL9" s="194">
        <v>0</v>
      </c>
      <c r="AM9" s="194">
        <v>0</v>
      </c>
      <c r="AN9" s="201">
        <v>0</v>
      </c>
      <c r="AO9" s="282">
        <v>6</v>
      </c>
      <c r="AP9" s="167">
        <v>6</v>
      </c>
      <c r="AQ9" s="167">
        <v>6</v>
      </c>
      <c r="AR9" s="206">
        <v>6</v>
      </c>
      <c r="AS9" s="379" t="s">
        <v>1072</v>
      </c>
      <c r="AT9" s="208"/>
      <c r="AU9" s="207"/>
      <c r="AV9" s="208"/>
      <c r="AW9" s="207"/>
      <c r="AX9" s="208"/>
      <c r="AY9" s="133">
        <f>IF(ISNUMBER(IF(J_V="SI",S9,S9+AG9)),IF(J_V="SI",S9,S9+AG9)," - ")</f>
        <v>10852</v>
      </c>
      <c r="AZ9" s="133">
        <f>IF(ISNUMBER(IF(J_V="SI",T9,T9+AH9)),IF(J_V="SI",T9,T9+AH9)," - ")</f>
        <v>4148</v>
      </c>
      <c r="BA9" s="134">
        <f>IF(ISNUMBER(IF(J_V="SI",U9,U9+AI9)),IF(J_V="SI",U9,U9+AI9)," - ")</f>
        <v>3813</v>
      </c>
      <c r="BB9" s="134">
        <f>IF(ISNUMBER(IF(J_V="SI",V9,V9+AJ9)),IF(J_V="SI",V9,V9+AJ9)," - ")</f>
        <v>11171</v>
      </c>
      <c r="BC9" s="135">
        <f>IF(ISNUMBER(X9),X9," - ")</f>
        <v>1951</v>
      </c>
      <c r="BD9" s="136">
        <f>IF(ISNUMBER(BA9/AZ9),BA9/AZ9," - ")</f>
        <v>0.91923818707810989</v>
      </c>
      <c r="BE9" s="137">
        <f>IF(ISNUMBER(BB9/BA9),BB9/BA9, " - ")</f>
        <v>2.9297141358510359</v>
      </c>
      <c r="BF9" s="137">
        <f>IF(ISNUMBER(BC9/BA9),BC9/BA9, " - ")</f>
        <v>0.51167060057697356</v>
      </c>
      <c r="BG9" s="209">
        <f>IF(ISNUMBER((AY9+AZ9)/BA9),(AY9+AZ9)/BA9," - ")</f>
        <v>3.9339103068450041</v>
      </c>
      <c r="BH9" s="167">
        <v>6</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73</v>
      </c>
      <c r="J10" s="194">
        <v>54</v>
      </c>
      <c r="K10" s="194">
        <v>37</v>
      </c>
      <c r="L10" s="194">
        <v>90</v>
      </c>
      <c r="M10" s="194">
        <v>9</v>
      </c>
      <c r="N10" s="194">
        <v>7</v>
      </c>
      <c r="O10" s="194">
        <v>11</v>
      </c>
      <c r="P10" s="194">
        <v>12</v>
      </c>
      <c r="Q10" s="194">
        <v>21</v>
      </c>
      <c r="R10" s="194">
        <v>86</v>
      </c>
      <c r="S10" s="194">
        <v>99</v>
      </c>
      <c r="T10" s="194">
        <v>45</v>
      </c>
      <c r="U10" s="194">
        <v>56</v>
      </c>
      <c r="V10" s="194">
        <v>88</v>
      </c>
      <c r="W10" s="194">
        <v>15</v>
      </c>
      <c r="X10" s="201">
        <v>9</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99</v>
      </c>
      <c r="AZ10" s="139">
        <f t="shared" si="0"/>
        <v>45</v>
      </c>
      <c r="BA10" s="139">
        <f t="shared" si="0"/>
        <v>56</v>
      </c>
      <c r="BB10" s="139">
        <f t="shared" si="0"/>
        <v>88</v>
      </c>
      <c r="BC10" s="135">
        <f t="shared" si="0"/>
        <v>15</v>
      </c>
      <c r="BD10" s="136">
        <f>IF(ISNUMBER(BA10/AZ10),BA10/AZ10," - ")</f>
        <v>1.2444444444444445</v>
      </c>
      <c r="BE10" s="137">
        <f>IF(ISNUMBER(BB10/BA10),BB10/BA10, " - ")</f>
        <v>1.5714285714285714</v>
      </c>
      <c r="BF10" s="137">
        <f>IF(ISNUMBER(BC10/BA10),BC10/BA10, " - ")</f>
        <v>0.26785714285714285</v>
      </c>
      <c r="BG10" s="209">
        <f>IF(ISNUMBER((AY10+AZ10)/BA10),(AY10+AZ10)/BA10," - ")</f>
        <v>2.5714285714285716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876</v>
      </c>
      <c r="J11" s="196">
        <v>444</v>
      </c>
      <c r="K11" s="196">
        <v>440</v>
      </c>
      <c r="L11" s="196">
        <v>880</v>
      </c>
      <c r="M11" s="196">
        <v>204</v>
      </c>
      <c r="N11" s="196">
        <v>328</v>
      </c>
      <c r="O11" s="194">
        <v>121</v>
      </c>
      <c r="P11" s="196">
        <v>56</v>
      </c>
      <c r="Q11" s="196">
        <v>39</v>
      </c>
      <c r="R11" s="196">
        <v>783</v>
      </c>
      <c r="S11" s="196">
        <v>955</v>
      </c>
      <c r="T11" s="196">
        <v>586</v>
      </c>
      <c r="U11" s="196">
        <v>470</v>
      </c>
      <c r="V11" s="196">
        <v>1071</v>
      </c>
      <c r="W11" s="196">
        <v>186</v>
      </c>
      <c r="X11" s="202">
        <v>367</v>
      </c>
      <c r="Y11" s="204">
        <v>186</v>
      </c>
      <c r="Z11" s="194">
        <v>224</v>
      </c>
      <c r="AA11" s="194">
        <v>234</v>
      </c>
      <c r="AB11" s="194">
        <v>176</v>
      </c>
      <c r="AC11" s="196">
        <v>0</v>
      </c>
      <c r="AD11" s="196">
        <v>0</v>
      </c>
      <c r="AE11" s="196">
        <v>0</v>
      </c>
      <c r="AF11" s="202">
        <v>0</v>
      </c>
      <c r="AG11" s="215">
        <v>151</v>
      </c>
      <c r="AH11" s="196">
        <v>355</v>
      </c>
      <c r="AI11" s="196">
        <v>292</v>
      </c>
      <c r="AJ11" s="216">
        <v>214</v>
      </c>
      <c r="AK11" s="195">
        <v>0</v>
      </c>
      <c r="AL11" s="196">
        <v>0</v>
      </c>
      <c r="AM11" s="196">
        <v>0</v>
      </c>
      <c r="AN11" s="202">
        <v>0</v>
      </c>
      <c r="AO11" s="283">
        <v>2</v>
      </c>
      <c r="AP11" s="168">
        <v>2</v>
      </c>
      <c r="AQ11" s="168">
        <v>2</v>
      </c>
      <c r="AR11" s="167">
        <v>2</v>
      </c>
      <c r="AS11" s="381" t="s">
        <v>1074</v>
      </c>
      <c r="AT11" s="216"/>
      <c r="AU11" s="215"/>
      <c r="AV11" s="216"/>
      <c r="AW11" s="215"/>
      <c r="AX11" s="216"/>
      <c r="AY11" s="136">
        <f t="shared" ref="AY11:BB12" si="1">IF(ISNUMBER(IF(J_V="SI",S11,S11+AG11)),IF(J_V="SI",S11,S11+AG11)," - ")</f>
        <v>1106</v>
      </c>
      <c r="AZ11" s="137">
        <f t="shared" si="1"/>
        <v>941</v>
      </c>
      <c r="BA11" s="137">
        <f t="shared" si="1"/>
        <v>762</v>
      </c>
      <c r="BB11" s="137">
        <f t="shared" si="1"/>
        <v>1285</v>
      </c>
      <c r="BC11" s="135">
        <f>IF(ISNUMBER(X11),X11," - ")</f>
        <v>367</v>
      </c>
      <c r="BD11" s="136">
        <f t="shared" ref="BD11:BD13" si="2">IF(ISNUMBER(BA11/AZ11),BA11/AZ11," - ")</f>
        <v>0.80977683315621674</v>
      </c>
      <c r="BE11" s="137">
        <f t="shared" ref="BE11:BE13" si="3">IF(ISNUMBER(BB11/BA11),BB11/BA11, " - ")</f>
        <v>1.6863517060367454</v>
      </c>
      <c r="BF11" s="137">
        <f t="shared" ref="BF11:BF13" si="4">IF(ISNUMBER(BC11/BA11),BC11/BA11, " - ")</f>
        <v>0.48162729658792652</v>
      </c>
      <c r="BG11" s="209">
        <f t="shared" ref="BG11:BG13" si="5">IF(ISNUMBER((AY11+AZ11)/BA11),(AY11+AZ11)/BA11," - ")</f>
        <v>2.6863517060367452</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11394</v>
      </c>
      <c r="J14" s="197">
        <f t="shared" si="7"/>
        <v>4827</v>
      </c>
      <c r="K14" s="197">
        <f t="shared" si="7"/>
        <v>5528</v>
      </c>
      <c r="L14" s="197">
        <f t="shared" si="7"/>
        <v>10693</v>
      </c>
      <c r="M14" s="197">
        <f t="shared" si="7"/>
        <v>1938</v>
      </c>
      <c r="N14" s="197">
        <f t="shared" si="7"/>
        <v>2808</v>
      </c>
      <c r="O14" s="197">
        <f t="shared" si="7"/>
        <v>1315</v>
      </c>
      <c r="P14" s="197">
        <f t="shared" si="7"/>
        <v>729</v>
      </c>
      <c r="Q14" s="197">
        <f t="shared" si="7"/>
        <v>869</v>
      </c>
      <c r="R14" s="197">
        <f t="shared" si="7"/>
        <v>12918</v>
      </c>
      <c r="S14" s="197">
        <f t="shared" si="7"/>
        <v>11711</v>
      </c>
      <c r="T14" s="197">
        <f t="shared" si="7"/>
        <v>4655</v>
      </c>
      <c r="U14" s="197">
        <f t="shared" si="7"/>
        <v>4205</v>
      </c>
      <c r="V14" s="197">
        <f t="shared" si="7"/>
        <v>12161</v>
      </c>
      <c r="W14" s="197">
        <f t="shared" si="7"/>
        <v>1297</v>
      </c>
      <c r="X14" s="197">
        <f t="shared" si="7"/>
        <v>2327</v>
      </c>
      <c r="Y14" s="197">
        <f t="shared" si="7"/>
        <v>401</v>
      </c>
      <c r="Z14" s="197">
        <f t="shared" si="7"/>
        <v>378</v>
      </c>
      <c r="AA14" s="197">
        <f t="shared" si="7"/>
        <v>411</v>
      </c>
      <c r="AB14" s="197">
        <f t="shared" si="7"/>
        <v>368</v>
      </c>
      <c r="AC14" s="197">
        <f t="shared" si="7"/>
        <v>0</v>
      </c>
      <c r="AD14" s="197">
        <f t="shared" si="7"/>
        <v>0</v>
      </c>
      <c r="AE14" s="197">
        <f t="shared" si="7"/>
        <v>0</v>
      </c>
      <c r="AF14" s="197">
        <f>SUBTOTAL(9,AF9:AF13)</f>
        <v>0</v>
      </c>
      <c r="AG14" s="197">
        <f t="shared" ref="AG14:AT14" si="8">SUBTOTAL(9,AG8:AG13)</f>
        <v>346</v>
      </c>
      <c r="AH14" s="197">
        <f t="shared" si="8"/>
        <v>479</v>
      </c>
      <c r="AI14" s="197">
        <f t="shared" si="8"/>
        <v>426</v>
      </c>
      <c r="AJ14" s="197">
        <f t="shared" si="8"/>
        <v>383</v>
      </c>
      <c r="AK14" s="197">
        <f t="shared" si="8"/>
        <v>0</v>
      </c>
      <c r="AL14" s="197">
        <f t="shared" si="8"/>
        <v>0</v>
      </c>
      <c r="AM14" s="197">
        <f t="shared" si="8"/>
        <v>0</v>
      </c>
      <c r="AN14" s="197">
        <f t="shared" si="8"/>
        <v>0</v>
      </c>
      <c r="AO14" s="197">
        <f t="shared" si="8"/>
        <v>9</v>
      </c>
      <c r="AP14" s="197">
        <f t="shared" si="8"/>
        <v>9</v>
      </c>
      <c r="AQ14" s="197">
        <f t="shared" si="8"/>
        <v>9</v>
      </c>
      <c r="AR14" s="197">
        <f t="shared" si="8"/>
        <v>9</v>
      </c>
      <c r="AS14" s="197">
        <f t="shared" si="8"/>
        <v>0</v>
      </c>
      <c r="AT14" s="197">
        <f t="shared" si="8"/>
        <v>0</v>
      </c>
      <c r="AU14" s="217"/>
      <c r="AV14" s="142"/>
      <c r="AW14" s="217"/>
      <c r="AX14" s="142"/>
      <c r="AY14" s="197">
        <f>SUBTOTAL(9,AY8:AY13)</f>
        <v>12057</v>
      </c>
      <c r="AZ14" s="197">
        <f>SUBTOTAL(9,AZ8:AZ13)</f>
        <v>5134</v>
      </c>
      <c r="BA14" s="197">
        <f>SUBTOTAL(9,BA8:BA13)</f>
        <v>4631</v>
      </c>
      <c r="BB14" s="197">
        <f>SUBTOTAL(9,BB8:BB13)</f>
        <v>12544</v>
      </c>
      <c r="BC14" s="197">
        <f>SUBTOTAL(9,BC8:BC13)</f>
        <v>2333</v>
      </c>
      <c r="BD14" s="219">
        <f>IF(ISNUMBER(BA14/AZ14),BA14/AZ14," - ")</f>
        <v>0.90202571094663031</v>
      </c>
      <c r="BE14" s="220">
        <f>IF(ISNUMBER(BB14/BA14),BB14/BA14, " - ")</f>
        <v>2.7087022241416543</v>
      </c>
      <c r="BF14" s="220">
        <f>IF(ISNUMBER(BC14/BA14),BC14/BA14, " - ")</f>
        <v>0.50377888145109051</v>
      </c>
      <c r="BG14" s="221">
        <f>IF(ISNUMBER((AY14+AZ14)/BA14),(AY14+AZ14)/BA14," - ")</f>
        <v>3.7121572014683655</v>
      </c>
      <c r="BH14" s="153">
        <f>SUBTOTAL(9,BH8:BH13)</f>
        <v>9</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1809</v>
      </c>
      <c r="J16" s="196">
        <v>3251</v>
      </c>
      <c r="K16" s="196">
        <v>3307</v>
      </c>
      <c r="L16" s="196">
        <v>1796</v>
      </c>
      <c r="M16" s="196">
        <v>321</v>
      </c>
      <c r="N16" s="196">
        <v>1872</v>
      </c>
      <c r="O16" s="194">
        <v>47</v>
      </c>
      <c r="P16" s="196">
        <v>83</v>
      </c>
      <c r="Q16" s="196">
        <v>90</v>
      </c>
      <c r="R16" s="196">
        <v>348</v>
      </c>
      <c r="S16" s="196">
        <v>1903</v>
      </c>
      <c r="T16" s="196">
        <v>3523</v>
      </c>
      <c r="U16" s="196">
        <v>3703</v>
      </c>
      <c r="V16" s="196">
        <v>1698</v>
      </c>
      <c r="W16" s="196">
        <v>407</v>
      </c>
      <c r="X16" s="202">
        <v>2201</v>
      </c>
      <c r="Y16" s="215">
        <v>0</v>
      </c>
      <c r="Z16" s="196">
        <v>0</v>
      </c>
      <c r="AA16" s="196">
        <v>0</v>
      </c>
      <c r="AB16" s="196">
        <v>0</v>
      </c>
      <c r="AC16" s="196">
        <v>0</v>
      </c>
      <c r="AD16" s="196">
        <v>114</v>
      </c>
      <c r="AE16" s="196">
        <v>114</v>
      </c>
      <c r="AF16" s="202">
        <v>0</v>
      </c>
      <c r="AG16" s="215">
        <v>0</v>
      </c>
      <c r="AH16" s="196">
        <v>0</v>
      </c>
      <c r="AI16" s="196">
        <v>0</v>
      </c>
      <c r="AJ16" s="216">
        <v>0</v>
      </c>
      <c r="AK16" s="195">
        <v>5</v>
      </c>
      <c r="AL16" s="196">
        <v>68</v>
      </c>
      <c r="AM16" s="196">
        <v>68</v>
      </c>
      <c r="AN16" s="202">
        <v>5</v>
      </c>
      <c r="AO16" s="283">
        <v>6</v>
      </c>
      <c r="AP16" s="168">
        <v>6</v>
      </c>
      <c r="AQ16" s="168">
        <v>6</v>
      </c>
      <c r="AR16" s="168">
        <v>6</v>
      </c>
      <c r="AS16" s="381" t="s">
        <v>702</v>
      </c>
      <c r="AT16" s="216" t="s">
        <v>424</v>
      </c>
      <c r="AU16" s="215"/>
      <c r="AV16" s="216"/>
      <c r="AW16" s="215"/>
      <c r="AX16" s="216"/>
      <c r="AY16" s="138">
        <f t="shared" ref="AY16:BB17" si="10">IF(ISNUMBER(IF(D_I="SI",S16,S16+AK16)),IF(D_I="SI",S16,S16+AK16)," - ")</f>
        <v>1903</v>
      </c>
      <c r="AZ16" s="139">
        <f t="shared" si="10"/>
        <v>3523</v>
      </c>
      <c r="BA16" s="139">
        <f t="shared" si="10"/>
        <v>3703</v>
      </c>
      <c r="BB16" s="139">
        <f t="shared" si="10"/>
        <v>1698</v>
      </c>
      <c r="BC16" s="135">
        <f>IF(ISNUMBER(W16),W16," - ")</f>
        <v>407</v>
      </c>
      <c r="BD16" s="136">
        <f>IF(ISNUMBER(BA16/AZ16),BA16/AZ16," - ")</f>
        <v>1.051092818620494</v>
      </c>
      <c r="BE16" s="137">
        <f>IF(ISNUMBER(BB16/BA16),BB16/BA16, " - ")</f>
        <v>0.45854712395355118</v>
      </c>
      <c r="BF16" s="137">
        <f>IF(ISNUMBER(BC16/BA16),BC16/BA16, " - ")</f>
        <v>0.10991088306778288</v>
      </c>
      <c r="BG16" s="209">
        <f t="shared" ref="BG16:BG22" si="11">IF(ISNUMBER((AY16+AZ16)/BA16),(AY16+AZ16)/BA16," - ")</f>
        <v>1.4652984066972725</v>
      </c>
      <c r="BH16" s="168">
        <v>6</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311</v>
      </c>
      <c r="J18" s="196">
        <v>438</v>
      </c>
      <c r="K18" s="196">
        <v>404</v>
      </c>
      <c r="L18" s="196">
        <v>345</v>
      </c>
      <c r="M18" s="196">
        <v>8</v>
      </c>
      <c r="N18" s="196">
        <v>248</v>
      </c>
      <c r="O18" s="196">
        <v>0</v>
      </c>
      <c r="P18" s="196">
        <v>2</v>
      </c>
      <c r="Q18" s="196">
        <v>2</v>
      </c>
      <c r="R18" s="196">
        <v>17</v>
      </c>
      <c r="S18" s="196">
        <v>244</v>
      </c>
      <c r="T18" s="196">
        <v>376</v>
      </c>
      <c r="U18" s="196">
        <v>390</v>
      </c>
      <c r="V18" s="196">
        <v>234</v>
      </c>
      <c r="W18" s="196">
        <v>22</v>
      </c>
      <c r="X18" s="202">
        <v>176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244</v>
      </c>
      <c r="AZ18" s="139">
        <f t="shared" si="15"/>
        <v>376</v>
      </c>
      <c r="BA18" s="139">
        <f t="shared" si="15"/>
        <v>390</v>
      </c>
      <c r="BB18" s="139">
        <f t="shared" si="15"/>
        <v>234</v>
      </c>
      <c r="BC18" s="135">
        <f>IF(ISNUMBER(W18),W18," - ")</f>
        <v>22</v>
      </c>
      <c r="BD18" s="136">
        <f>IF(ISNUMBER(BA18/AZ18),BA18/AZ18," - ")</f>
        <v>1.0372340425531914</v>
      </c>
      <c r="BE18" s="137">
        <f>IF(ISNUMBER(BB18/BA18),BB18/BA18, " - ")</f>
        <v>0.6</v>
      </c>
      <c r="BF18" s="137">
        <f>IF(ISNUMBER(BC18/BA18),BC18/BA18, " - ")</f>
        <v>5.6410256410256411E-2</v>
      </c>
      <c r="BG18" s="209">
        <f>IF(ISNUMBER((AY18+AZ18)/BA18),(AY18+AZ18)/BA18," - ")</f>
        <v>1.5897435897435896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2120</v>
      </c>
      <c r="J23" s="197">
        <f t="shared" si="21"/>
        <v>3689</v>
      </c>
      <c r="K23" s="197">
        <f t="shared" si="21"/>
        <v>3711</v>
      </c>
      <c r="L23" s="197">
        <f t="shared" si="21"/>
        <v>2141</v>
      </c>
      <c r="M23" s="197">
        <f t="shared" si="21"/>
        <v>329</v>
      </c>
      <c r="N23" s="197">
        <f t="shared" si="21"/>
        <v>2120</v>
      </c>
      <c r="O23" s="197">
        <f t="shared" si="21"/>
        <v>47</v>
      </c>
      <c r="P23" s="197">
        <f t="shared" si="21"/>
        <v>85</v>
      </c>
      <c r="Q23" s="197">
        <f t="shared" si="21"/>
        <v>92</v>
      </c>
      <c r="R23" s="197">
        <f t="shared" si="21"/>
        <v>365</v>
      </c>
      <c r="S23" s="197">
        <f t="shared" si="21"/>
        <v>2147</v>
      </c>
      <c r="T23" s="197">
        <f t="shared" si="21"/>
        <v>3899</v>
      </c>
      <c r="U23" s="197">
        <f t="shared" si="21"/>
        <v>4093</v>
      </c>
      <c r="V23" s="197">
        <f t="shared" si="21"/>
        <v>1932</v>
      </c>
      <c r="W23" s="197">
        <f t="shared" si="21"/>
        <v>429</v>
      </c>
      <c r="X23" s="197">
        <f t="shared" si="21"/>
        <v>2377</v>
      </c>
      <c r="Y23" s="197">
        <f t="shared" si="21"/>
        <v>0</v>
      </c>
      <c r="Z23" s="197">
        <f t="shared" si="21"/>
        <v>0</v>
      </c>
      <c r="AA23" s="197">
        <f t="shared" si="21"/>
        <v>0</v>
      </c>
      <c r="AB23" s="197">
        <f t="shared" si="21"/>
        <v>0</v>
      </c>
      <c r="AC23" s="197">
        <f t="shared" si="21"/>
        <v>0</v>
      </c>
      <c r="AD23" s="197">
        <f t="shared" si="21"/>
        <v>114</v>
      </c>
      <c r="AE23" s="197">
        <f t="shared" si="21"/>
        <v>114</v>
      </c>
      <c r="AF23" s="197">
        <f t="shared" si="21"/>
        <v>0</v>
      </c>
      <c r="AG23" s="197">
        <f t="shared" si="21"/>
        <v>0</v>
      </c>
      <c r="AH23" s="197">
        <f t="shared" si="21"/>
        <v>0</v>
      </c>
      <c r="AI23" s="197">
        <f t="shared" si="21"/>
        <v>0</v>
      </c>
      <c r="AJ23" s="197">
        <f t="shared" si="21"/>
        <v>0</v>
      </c>
      <c r="AK23" s="197">
        <f t="shared" si="21"/>
        <v>5</v>
      </c>
      <c r="AL23" s="197">
        <f t="shared" si="21"/>
        <v>68</v>
      </c>
      <c r="AM23" s="197">
        <f t="shared" si="21"/>
        <v>68</v>
      </c>
      <c r="AN23" s="197">
        <f t="shared" si="21"/>
        <v>5</v>
      </c>
      <c r="AO23" s="197">
        <f t="shared" si="21"/>
        <v>7</v>
      </c>
      <c r="AP23" s="197">
        <f t="shared" si="21"/>
        <v>7</v>
      </c>
      <c r="AQ23" s="197">
        <f t="shared" si="21"/>
        <v>7</v>
      </c>
      <c r="AR23" s="197">
        <f t="shared" si="21"/>
        <v>7</v>
      </c>
      <c r="AS23" s="197">
        <f t="shared" si="21"/>
        <v>0</v>
      </c>
      <c r="AT23" s="197">
        <f t="shared" si="21"/>
        <v>0</v>
      </c>
      <c r="AU23" s="217"/>
      <c r="AV23" s="142"/>
      <c r="AW23" s="217"/>
      <c r="AX23" s="142"/>
      <c r="AY23" s="197">
        <f>SUBTOTAL(9,AY15:AY22)</f>
        <v>2147</v>
      </c>
      <c r="AZ23" s="197">
        <f>SUBTOTAL(9,AZ15:AZ22)</f>
        <v>3899</v>
      </c>
      <c r="BA23" s="197">
        <f>SUBTOTAL(9,BA15:BA22)</f>
        <v>4093</v>
      </c>
      <c r="BB23" s="197">
        <f>SUBTOTAL(9,BB15:BB22)</f>
        <v>1932</v>
      </c>
      <c r="BC23" s="197">
        <f>SUBTOTAL(9,BC15:BC22)</f>
        <v>429</v>
      </c>
      <c r="BD23" s="219">
        <f>IF(ISNUMBER(BA23/AZ23),BA23/AZ23," - ")</f>
        <v>1.0497563477814824</v>
      </c>
      <c r="BE23" s="220">
        <f>IF(ISNUMBER(BB23/BA23),BB23/BA23, " - ")</f>
        <v>0.47202540923527975</v>
      </c>
      <c r="BF23" s="220">
        <f>IF(ISNUMBER(BC23/BA23),BC23/BA23, " - ")</f>
        <v>0.10481309552895186</v>
      </c>
      <c r="BG23" s="221">
        <f>IF(ISNUMBER((AY23+AZ23)/BA23),(AY23+AZ23)/BA23," - ")</f>
        <v>1.4771561202052284</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13514</v>
      </c>
      <c r="J31" s="144">
        <f t="shared" si="36"/>
        <v>8516</v>
      </c>
      <c r="K31" s="144">
        <f t="shared" si="36"/>
        <v>9239</v>
      </c>
      <c r="L31" s="144">
        <f t="shared" si="36"/>
        <v>12834</v>
      </c>
      <c r="M31" s="144">
        <f t="shared" si="36"/>
        <v>2267</v>
      </c>
      <c r="N31" s="144">
        <f t="shared" si="36"/>
        <v>4928</v>
      </c>
      <c r="O31" s="144">
        <f t="shared" si="36"/>
        <v>1362</v>
      </c>
      <c r="P31" s="144">
        <f t="shared" si="36"/>
        <v>814</v>
      </c>
      <c r="Q31" s="144">
        <f t="shared" si="36"/>
        <v>961</v>
      </c>
      <c r="R31" s="144">
        <f t="shared" si="36"/>
        <v>13283</v>
      </c>
      <c r="S31" s="144">
        <f t="shared" si="36"/>
        <v>13858</v>
      </c>
      <c r="T31" s="144">
        <f t="shared" si="36"/>
        <v>8554</v>
      </c>
      <c r="U31" s="144">
        <f t="shared" si="36"/>
        <v>8298</v>
      </c>
      <c r="V31" s="144">
        <f t="shared" si="36"/>
        <v>14093</v>
      </c>
      <c r="W31" s="144">
        <f t="shared" si="36"/>
        <v>1726</v>
      </c>
      <c r="X31" s="144">
        <f t="shared" si="36"/>
        <v>4704</v>
      </c>
      <c r="Y31" s="144">
        <f t="shared" si="36"/>
        <v>401</v>
      </c>
      <c r="Z31" s="144">
        <f t="shared" si="36"/>
        <v>378</v>
      </c>
      <c r="AA31" s="144">
        <f t="shared" si="36"/>
        <v>411</v>
      </c>
      <c r="AB31" s="144">
        <f t="shared" si="36"/>
        <v>368</v>
      </c>
      <c r="AC31" s="144">
        <f t="shared" si="36"/>
        <v>0</v>
      </c>
      <c r="AD31" s="144">
        <f t="shared" si="36"/>
        <v>114</v>
      </c>
      <c r="AE31" s="144">
        <f t="shared" si="36"/>
        <v>114</v>
      </c>
      <c r="AF31" s="144">
        <f t="shared" si="36"/>
        <v>0</v>
      </c>
      <c r="AG31" s="144">
        <f t="shared" si="36"/>
        <v>346</v>
      </c>
      <c r="AH31" s="144">
        <f t="shared" si="36"/>
        <v>479</v>
      </c>
      <c r="AI31" s="144">
        <f t="shared" si="36"/>
        <v>426</v>
      </c>
      <c r="AJ31" s="144">
        <f t="shared" si="36"/>
        <v>383</v>
      </c>
      <c r="AK31" s="144">
        <f t="shared" si="36"/>
        <v>5</v>
      </c>
      <c r="AL31" s="144">
        <f t="shared" si="36"/>
        <v>68</v>
      </c>
      <c r="AM31" s="144">
        <f t="shared" si="36"/>
        <v>68</v>
      </c>
      <c r="AN31" s="224">
        <f t="shared" si="36"/>
        <v>5</v>
      </c>
      <c r="AO31" s="225">
        <v>15</v>
      </c>
      <c r="AP31" s="225">
        <v>15</v>
      </c>
      <c r="AQ31" s="225">
        <v>15</v>
      </c>
      <c r="AR31" s="225">
        <v>15</v>
      </c>
      <c r="AS31" s="166">
        <f t="shared" si="36"/>
        <v>0</v>
      </c>
      <c r="AT31" s="166">
        <f t="shared" si="36"/>
        <v>0</v>
      </c>
      <c r="AU31" s="225"/>
      <c r="AV31" s="226"/>
      <c r="AW31" s="225"/>
      <c r="AX31" s="226"/>
      <c r="AY31" s="143">
        <f>SUBTOTAL(9,AY9:AY30)</f>
        <v>14204</v>
      </c>
      <c r="AZ31" s="144">
        <f>SUBTOTAL(9,AZ9:AZ30)</f>
        <v>9033</v>
      </c>
      <c r="BA31" s="144">
        <f>SUBTOTAL(9,BA9:BA30)</f>
        <v>8724</v>
      </c>
      <c r="BB31" s="144">
        <f>SUBTOTAL(9,BB9:BB30)</f>
        <v>14476</v>
      </c>
      <c r="BC31" s="145">
        <f>SUBTOTAL(9,BC9:BC30)</f>
        <v>2762</v>
      </c>
      <c r="BD31" s="227">
        <f>IF(ISNUMBER(BA31/AZ31),BA31/AZ31," - ")</f>
        <v>0.96579209564928592</v>
      </c>
      <c r="BE31" s="224">
        <f>IF(ISNUMBER(BB31/BA31),BB31/BA31, " - ")</f>
        <v>1.6593305823016964</v>
      </c>
      <c r="BF31" s="224">
        <f>IF(ISNUMBER(BC31/BA31),BC31/BA31, " - ")</f>
        <v>0.31659789087574508</v>
      </c>
      <c r="BG31" s="145">
        <f>IF(ISNUMBER((AY31+AZ31)/BA31),(AY31+AZ31)/BA31," - ")</f>
        <v>2.663571756075195</v>
      </c>
      <c r="BH31" s="225">
        <f>SUBTOTAL(9,BH9:BH30)</f>
        <v>16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db3BLPO7XYmkJiSkcvyPZv1FgTsdE/MFmXScZ2WcqJJKoCzrM3bpVj6aKyZS/e+wx4ZNYixt14l0Y05cmdDvw==" saltValue="CLbAmYGWJGC0fnBOPj0zA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5SB/mcUnMfz5Zr20zNTNseRdPh9tl0dGRMIoYLmT57Wib9IdaM/lSDg4OHAqHKxMYVjnF4yfS62/I2zAUGuc+w==" saltValue="ppw7TxIJ8J5XFpV0L0Wpp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MADRID</v>
      </c>
      <c r="F1" s="578"/>
    </row>
    <row r="2" spans="1:74" ht="16.5" customHeight="1">
      <c r="C2" s="567" t="str">
        <f>Criterios!A10 &amp;"  "&amp;Criterios!B10 &amp; "  " &amp; IF(NOT(ISBLANK(Criterios!A11)),Criterios!A11 &amp;"  "&amp;Criterios!B11,"")</f>
        <v>Provincias  MADRID  Resumenes por Partidos Judiciales  MOSTOLES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6</v>
      </c>
      <c r="B9" s="745" t="s">
        <v>321</v>
      </c>
      <c r="C9" s="765" t="str">
        <f>Datos!A9</f>
        <v xml:space="preserve">Jdos. 1ª Instancia   </v>
      </c>
      <c r="D9" s="593"/>
      <c r="E9" s="764">
        <f>IF(ISNUMBER(Datos!AQ9),Datos!AQ9," - ")</f>
        <v>6</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154</v>
      </c>
      <c r="O9" s="549"/>
      <c r="P9" s="549"/>
      <c r="Q9" s="547">
        <f>IF(ISNUMBER(Datos!P9),Datos!P9,0)</f>
        <v>661</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809</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192</v>
      </c>
      <c r="AI9" s="549" t="str">
        <f>IF(ISNUMBER(Datos!CD9),Datos!CD9,"-")</f>
        <v>-</v>
      </c>
      <c r="AJ9" s="549" t="str">
        <f>IF(ISNUMBER(Datos!EN9),Datos!EN9," - ")</f>
        <v xml:space="preserve"> - </v>
      </c>
      <c r="AK9" s="549"/>
      <c r="AL9" s="550"/>
      <c r="AM9" s="766">
        <f>IF(ISNUMBER(Datos!R9),Datos!R9," - ")</f>
        <v>12049</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1725</v>
      </c>
      <c r="BD9" s="693">
        <f>IF(ISNUMBER(Datos!N9),Datos!N9," - ")</f>
        <v>2473</v>
      </c>
      <c r="BE9" s="693" t="str">
        <f>IF(ISNUMBER(Datos!BW9),Datos!BW9," - ")</f>
        <v xml:space="preserve"> - </v>
      </c>
      <c r="BF9" s="762" t="str">
        <f>IF(ISNUMBER(Datos!BX9),Datos!BX9," - ")</f>
        <v xml:space="preserve"> - </v>
      </c>
      <c r="BG9" s="763">
        <f>IF(ISNUMBER(IF(J_V="SI",Datos!K9/Datos!J9,(Datos!K9+Datos!AA9)/(Datos!J9+Datos!Z9))),IF(J_V="SI",Datos!K9/Datos!J9,(Datos!K9+Datos!AA9)/(Datos!J9+Datos!Z9))," - ")</f>
        <v>1.166183359357573</v>
      </c>
      <c r="BH9" s="764">
        <f>IF(ISNUMBER(((IF(J_V="SI",Datos!L9/Datos!K9,(Datos!L9+Datos!AB9)/(Datos!K9+Datos!AA9)))*11)/factor_trimestre),((IF(J_V="SI",Datos!L9/Datos!K9,(Datos!L9+Datos!AB9)/(Datos!K9+Datos!AA9)))*11)/factor_trimestre," - ")</f>
        <v>5.6895562356541696</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-1.213413134377306E-2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73</v>
      </c>
      <c r="G10" s="543">
        <f>IF(ISNUMBER(Datos!I10),Datos!I10," - ")</f>
        <v>73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37</v>
      </c>
      <c r="AC10" s="547">
        <f>IF(ISNUMBER(Datos!Q10),Datos!Q10," - ")</f>
        <v>21</v>
      </c>
      <c r="AD10" s="549"/>
      <c r="AE10" s="563"/>
      <c r="AF10" s="551">
        <f>IF(ISNUMBER(Datos!L10),Datos!L10,"-")</f>
        <v>90</v>
      </c>
      <c r="AG10" s="549"/>
      <c r="AH10" s="549"/>
      <c r="AI10" s="549"/>
      <c r="AJ10" s="549"/>
      <c r="AK10" s="549"/>
      <c r="AL10" s="550"/>
      <c r="AM10" s="766">
        <f>IF(ISNUMBER(Datos!R10),Datos!R10," - ")</f>
        <v>86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9</v>
      </c>
      <c r="BD10" s="693">
        <f>IF(ISNUMBER(Datos!N10),Datos!N10," - ")</f>
        <v>7</v>
      </c>
      <c r="BE10" s="693" t="str">
        <f>IF(ISNUMBER(Datos!BW10),Datos!BW10," - ")</f>
        <v xml:space="preserve"> - </v>
      </c>
      <c r="BF10" s="762" t="str">
        <f>IF(ISNUMBER(Datos!BX10),Datos!BX10," - ")</f>
        <v xml:space="preserve"> - </v>
      </c>
      <c r="BG10" s="763">
        <f>IF(ISNUMBER(Datos!K10/Datos!J10),Datos!K10/Datos!J10," - ")</f>
        <v>0.68518518518518523</v>
      </c>
      <c r="BH10" s="764">
        <f>IF(ISNUMBER(((Datos!L10/Datos!K10)*11)/factor_trimestre),((Datos!L10/Datos!K10)*11)/factor_trimestre," - ")</f>
        <v>7.2972972972972983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-9.4736842105263161E-2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2</v>
      </c>
      <c r="B11" s="746" t="s">
        <v>321</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224</v>
      </c>
      <c r="O11" s="549"/>
      <c r="P11" s="549"/>
      <c r="Q11" s="547">
        <f>IF(ISNUMBER(Datos!P11),Datos!P11,0)</f>
        <v>56</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39</v>
      </c>
      <c r="AD11" s="549"/>
      <c r="AE11" s="563"/>
      <c r="AF11" s="551" t="str">
        <f>IF(ISNUMBER(IF(J_V="SI",Datos!L11,Datos!L11+Datos!AB11)-IF(Monitorios="SI",Datos!CD11,0)),
                          IF(J_V="SI",Datos!L11,Datos!L11+Datos!AB11)-IF(Monitorios="SI",Datos!CD11,0),
                          " - ")</f>
        <v xml:space="preserve"> - </v>
      </c>
      <c r="AG11" s="549"/>
      <c r="AH11" s="549">
        <f>IF(ISNUMBER(Datos!AB11),Datos!AB11,"-")</f>
        <v>176</v>
      </c>
      <c r="AI11" s="549"/>
      <c r="AJ11" s="549"/>
      <c r="AK11" s="549"/>
      <c r="AL11" s="550"/>
      <c r="AM11" s="766">
        <f>IF(ISNUMBER(Datos!R11),Datos!R11," - ")</f>
        <v>783</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204</v>
      </c>
      <c r="BD11" s="693">
        <f>IF(ISNUMBER(Datos!N11),Datos!N11," - ")</f>
        <v>328</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1.0089820359281436</v>
      </c>
      <c r="BH11" s="764">
        <f>IF(ISNUMBER(((IF(J_V="SI",Datos!L11/Datos!K11,(Datos!L11+Datos!AB11)/(Datos!K11+Datos!AA11)))*11)/factor_trimestre),((IF(J_V="SI",Datos!L11/Datos!K11,(Datos!L11+Datos!AB11)/(Datos!K11+Datos!AA11)))*11)/factor_trimestre," - ")</f>
        <v>4.7002967359050443</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2.2193211488250653E-2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9</v>
      </c>
      <c r="F14" s="1197">
        <f t="shared" si="1"/>
        <v>73</v>
      </c>
      <c r="G14" s="1197">
        <f t="shared" si="1"/>
        <v>73</v>
      </c>
      <c r="H14" s="1198">
        <f t="shared" si="1"/>
        <v>0</v>
      </c>
      <c r="I14" s="1197">
        <f t="shared" si="1"/>
        <v>0</v>
      </c>
      <c r="J14" s="1164">
        <f t="shared" si="1"/>
        <v>0</v>
      </c>
      <c r="K14" s="1164">
        <f t="shared" si="1"/>
        <v>0</v>
      </c>
      <c r="L14" s="1198">
        <f t="shared" si="1"/>
        <v>0</v>
      </c>
      <c r="M14" s="1198">
        <f t="shared" si="1"/>
        <v>0</v>
      </c>
      <c r="N14" s="1198">
        <f t="shared" si="1"/>
        <v>378</v>
      </c>
      <c r="O14" s="1199">
        <f t="shared" si="1"/>
        <v>0</v>
      </c>
      <c r="P14" s="1199">
        <f t="shared" si="1"/>
        <v>0</v>
      </c>
      <c r="Q14" s="1198">
        <f t="shared" si="1"/>
        <v>729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37</v>
      </c>
      <c r="AC14" s="1198">
        <f t="shared" si="2"/>
        <v>869</v>
      </c>
      <c r="AD14" s="1198">
        <f t="shared" si="2"/>
        <v>0</v>
      </c>
      <c r="AE14" s="1198">
        <f t="shared" si="2"/>
        <v>0</v>
      </c>
      <c r="AF14" s="1198">
        <f t="shared" si="2"/>
        <v>90</v>
      </c>
      <c r="AG14" s="1198">
        <f t="shared" si="2"/>
        <v>0</v>
      </c>
      <c r="AH14" s="1198">
        <f t="shared" si="2"/>
        <v>368</v>
      </c>
      <c r="AI14" s="1198">
        <f t="shared" si="2"/>
        <v>0</v>
      </c>
      <c r="AJ14" s="1198">
        <f t="shared" si="2"/>
        <v>0</v>
      </c>
      <c r="AK14" s="1198">
        <f t="shared" si="2"/>
        <v>0</v>
      </c>
      <c r="AL14" s="1198">
        <f t="shared" si="2"/>
        <v>0</v>
      </c>
      <c r="AM14" s="1198">
        <f t="shared" si="2"/>
        <v>12918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1938</v>
      </c>
      <c r="BD14" s="1198">
        <f t="shared" si="2"/>
        <v>2808</v>
      </c>
      <c r="BE14" s="1198">
        <f t="shared" si="2"/>
        <v>0</v>
      </c>
      <c r="BF14" s="1198">
        <f t="shared" si="2"/>
        <v>0</v>
      </c>
      <c r="BG14" s="1198">
        <f>IF(ISNUMBER(Datos!K14/Datos!J14),Datos!K14/Datos!J14," - ")</f>
        <v>1.1452247772943858</v>
      </c>
      <c r="BH14" s="1202">
        <f>IF(ISNUMBER(((Datos!L14/Datos!K14)*11)/factor_trimestre),((Datos!L14/Datos!K14)*11)/factor_trimestre," - ")</f>
        <v>5.8030028943560064</v>
      </c>
      <c r="BI14" s="1198">
        <f>IF(ISNUMBER('Resol  Asuntos'!D14/NºAsuntos!G14),'Resol  Asuntos'!D14/NºAsuntos!G14," - ")</f>
        <v>0.32631756187910421</v>
      </c>
      <c r="BJ14" s="1198" t="str">
        <f>IF(ISNUMBER(Datos!CI14/Datos!CJ14),Datos!CI14/Datos!CJ14," - ")</f>
        <v xml:space="preserve"> - </v>
      </c>
      <c r="BK14" s="1198">
        <f>SUBTOTAL(9,BK8:BK13)</f>
        <v>0</v>
      </c>
      <c r="BL14" s="1198">
        <f>IF(ISNUMBER((I14-AB14+L14)/(F14)),(I14-AB14+L14)/(F14)," - ")</f>
        <v>-0.50684931506849318</v>
      </c>
      <c r="BM14" s="1203">
        <f>SUBTOTAL(9,BM9:BM13)</f>
        <v>-8.4677761960785566E-2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6</v>
      </c>
      <c r="B16" s="737" t="s">
        <v>511</v>
      </c>
      <c r="C16" s="749" t="str">
        <f>Datos!A16</f>
        <v xml:space="preserve">Jdos. Instrucción                               </v>
      </c>
      <c r="D16" s="750"/>
      <c r="E16" s="1555">
        <f>IF(ISNUMBER(Datos!AQ16),Datos!AQ16," - ")</f>
        <v>6</v>
      </c>
      <c r="F16" s="740">
        <f>IF(ISNUMBER(AF16+AB16-Datos!J16-L16),AF16+AB16-Datos!J16-L16," - ")</f>
        <v>1852</v>
      </c>
      <c r="G16" s="743">
        <f>IF(ISNUMBER(IF(D_I="SI",Datos!I16,Datos!I16+Datos!AC16)),IF(D_I="SI",Datos!I16,Datos!I16+Datos!AC16)," - ")</f>
        <v>1809</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83</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3307</v>
      </c>
      <c r="AC16" s="240">
        <f>IF(ISNUMBER(Datos!Q16),Datos!Q16," - ")</f>
        <v>90</v>
      </c>
      <c r="AD16" s="374"/>
      <c r="AE16" s="562"/>
      <c r="AF16" s="741">
        <f>IF(ISNUMBER(IF(D_I="SI",Datos!L16,Datos!L16+Datos!AF16)),IF(D_I="SI",Datos!L16,Datos!L16+Datos!AF16)," - ")</f>
        <v>1796</v>
      </c>
      <c r="AG16" s="374"/>
      <c r="AH16" s="374"/>
      <c r="AI16" s="374"/>
      <c r="AJ16" s="549"/>
      <c r="AK16" s="374"/>
      <c r="AL16" s="545"/>
      <c r="AM16" s="375">
        <f>IF(ISNUMBER(Datos!R16),Datos!R16," - ")</f>
        <v>348</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321</v>
      </c>
      <c r="BD16" s="243">
        <f>IF(ISNUMBER(Datos!N16),Datos!N16," - ")</f>
        <v>1872</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1.0172254690864349</v>
      </c>
      <c r="BH16" s="764">
        <f>IF(ISNUMBER(((IF(D_I="SI",Datos!L16/Datos!K16,(Datos!L16+Datos!AF16)/(Datos!K16+Datos!AE16)))*11)/factor_trimestre),((IF(D_I="SI",Datos!L16/Datos!K16,(Datos!L16+Datos!AF16)/(Datos!K16+Datos!AE16)))*11)/factor_trimestre," - ")</f>
        <v>1.6292712428182643</v>
      </c>
      <c r="BI16" s="266">
        <f>IF(ISNUMBER('Resol  Asuntos'!D16/NºAsuntos!G16),'Resol  Asuntos'!D16/NºAsuntos!G16," - ")</f>
        <v>9.7066827940731779E-2</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311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404</v>
      </c>
      <c r="AC18" s="547">
        <f>IF(ISNUMBER(Datos!Q18),Datos!Q18," - ")</f>
        <v>2</v>
      </c>
      <c r="AD18" s="549"/>
      <c r="AE18" s="562"/>
      <c r="AF18" s="551">
        <f>IF(ISNUMBER(Datos!L18),Datos!L18,"-")</f>
        <v>345</v>
      </c>
      <c r="AG18" s="549"/>
      <c r="AH18" s="549"/>
      <c r="AI18" s="549"/>
      <c r="AJ18" s="549"/>
      <c r="AK18" s="549"/>
      <c r="AL18" s="550"/>
      <c r="AM18" s="766">
        <f>IF(ISNUMBER(Datos!R18),Datos!R18," - ")</f>
        <v>17</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8</v>
      </c>
      <c r="BD18" s="693">
        <f>IF(ISNUMBER(Datos!N18),Datos!N18," - ")</f>
        <v>248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0.92237442922374424</v>
      </c>
      <c r="BH18" s="764">
        <f>IF(ISNUMBER(((IF(D_I="SI",Datos!L18/Datos!K18,(Datos!L18+Datos!AF18)/(Datos!K18+Datos!AE18)))*11)/factor_trimestre),((IF(D_I="SI",Datos!L18/Datos!K18,(Datos!L18+Datos!AF18)/(Datos!K18+Datos!AE18)))*11)/factor_trimestre," - ")</f>
        <v>2.5618811881188117</v>
      </c>
      <c r="BI18" s="763">
        <f>IF(ISNUMBER('Resol  Asuntos'!D18/NºAsuntos!G18),'Resol  Asuntos'!D18/NºAsuntos!G18," - ")</f>
        <v>1.9801980198019802E-2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7</v>
      </c>
      <c r="F23" s="1197">
        <f>SUBTOTAL(9,F16:F22)</f>
        <v>1852</v>
      </c>
      <c r="G23" s="1197">
        <f>SUBTOTAL(9,G16:G22)</f>
        <v>2120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85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3711</v>
      </c>
      <c r="AC23" s="1198">
        <f t="shared" si="5"/>
        <v>92</v>
      </c>
      <c r="AD23" s="1198">
        <f t="shared" si="5"/>
        <v>0</v>
      </c>
      <c r="AE23" s="1198">
        <f t="shared" si="5"/>
        <v>0</v>
      </c>
      <c r="AF23" s="1198">
        <f t="shared" si="5"/>
        <v>2141</v>
      </c>
      <c r="AG23" s="1198">
        <f t="shared" si="5"/>
        <v>0</v>
      </c>
      <c r="AH23" s="1198">
        <f t="shared" si="5"/>
        <v>0</v>
      </c>
      <c r="AI23" s="1198">
        <f t="shared" si="5"/>
        <v>0</v>
      </c>
      <c r="AJ23" s="1198">
        <f t="shared" si="5"/>
        <v>0</v>
      </c>
      <c r="AK23" s="1198">
        <f t="shared" si="5"/>
        <v>0</v>
      </c>
      <c r="AL23" s="1198">
        <f t="shared" si="5"/>
        <v>0</v>
      </c>
      <c r="AM23" s="1198">
        <f t="shared" si="5"/>
        <v>365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329</v>
      </c>
      <c r="BD23" s="1198">
        <f t="shared" si="5"/>
        <v>2120</v>
      </c>
      <c r="BE23" s="1198">
        <f t="shared" si="5"/>
        <v>0</v>
      </c>
      <c r="BF23" s="1198">
        <f t="shared" si="5"/>
        <v>0</v>
      </c>
      <c r="BG23" s="1198">
        <f>IF(ISNUMBER(Datos!K23/Datos!J23),Datos!K23/Datos!J23," - ")</f>
        <v>1.0059636757928978</v>
      </c>
      <c r="BH23" s="1202">
        <f>IF(ISNUMBER(((Datos!L23/Datos!K23)*11)/factor_trimestre),((Datos!L23/Datos!K23)*11)/factor_trimestre," - ")</f>
        <v>1.730800323362975</v>
      </c>
      <c r="BI23" s="1198">
        <f>SUBTOTAL(9,BI16:BI22)</f>
        <v>0.11686880813875158</v>
      </c>
      <c r="BJ23" s="1198">
        <f>SUBTOTAL(9,BJ16:BJ22)</f>
        <v>0</v>
      </c>
      <c r="BK23" s="1198">
        <f>SUBTOTAL(9,BK16:BK22)</f>
        <v>0</v>
      </c>
      <c r="BL23" s="1198">
        <f>IF(ISNUMBER((I23-AB23+L23)/(F23)),(I23-AB23+L23)/(F23)," - ")</f>
        <v>-2.0037796976241902</v>
      </c>
      <c r="BM23" s="1205">
        <f>IF(ISNUMBER((Datos!P23-Datos!Q23)/(Datos!R23-Datos!P23+Datos!Q23)),(Datos!P23-Datos!Q23)/(Datos!R23-Datos!P23+Datos!Q23)," - ")</f>
        <v>-1.8817204301075269E-2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16</v>
      </c>
      <c r="F31" s="1117">
        <f t="shared" si="18"/>
        <v>1925</v>
      </c>
      <c r="G31" s="1117">
        <f t="shared" si="18"/>
        <v>2193</v>
      </c>
      <c r="H31" s="1119">
        <f t="shared" si="18"/>
        <v>0</v>
      </c>
      <c r="I31" s="1117">
        <f t="shared" si="18"/>
        <v>0</v>
      </c>
      <c r="J31" s="1119">
        <f t="shared" si="18"/>
        <v>0</v>
      </c>
      <c r="K31" s="1119">
        <f t="shared" si="18"/>
        <v>0</v>
      </c>
      <c r="L31" s="1180">
        <f t="shared" si="18"/>
        <v>0</v>
      </c>
      <c r="M31" s="1180">
        <f t="shared" si="18"/>
        <v>0</v>
      </c>
      <c r="N31" s="1180">
        <f t="shared" si="18"/>
        <v>378</v>
      </c>
      <c r="O31" s="1180">
        <f t="shared" si="18"/>
        <v>0</v>
      </c>
      <c r="P31" s="1180">
        <f t="shared" si="18"/>
        <v>0</v>
      </c>
      <c r="Q31" s="1119">
        <f t="shared" si="18"/>
        <v>814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3748</v>
      </c>
      <c r="AC31" s="1118">
        <f t="shared" si="19"/>
        <v>961</v>
      </c>
      <c r="AD31" s="1118">
        <f t="shared" si="19"/>
        <v>0</v>
      </c>
      <c r="AE31" s="1118">
        <f t="shared" si="19"/>
        <v>0</v>
      </c>
      <c r="AF31" s="1125">
        <f t="shared" si="19"/>
        <v>2231</v>
      </c>
      <c r="AG31" s="1125">
        <f t="shared" si="19"/>
        <v>0</v>
      </c>
      <c r="AH31" s="1125">
        <f t="shared" si="19"/>
        <v>368</v>
      </c>
      <c r="AI31" s="1125">
        <f t="shared" si="19"/>
        <v>0</v>
      </c>
      <c r="AJ31" s="1118">
        <f t="shared" si="19"/>
        <v>0</v>
      </c>
      <c r="AK31" s="1125">
        <f t="shared" si="19"/>
        <v>0</v>
      </c>
      <c r="AL31" s="1125">
        <f t="shared" si="19"/>
        <v>0</v>
      </c>
      <c r="AM31" s="1125">
        <f t="shared" si="19"/>
        <v>13283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2267</v>
      </c>
      <c r="BD31" s="1117">
        <f t="shared" si="19"/>
        <v>4928</v>
      </c>
      <c r="BE31" s="1117">
        <f t="shared" si="19"/>
        <v>0</v>
      </c>
      <c r="BF31" s="1127">
        <f t="shared" si="19"/>
        <v>0</v>
      </c>
      <c r="BG31" s="1223">
        <f>IF(ISNUMBER(Datos!K31/Datos!J31),Datos!K31/Datos!J31," - ")</f>
        <v>1.0848990136214185</v>
      </c>
      <c r="BH31" s="1223">
        <f>IF(ISNUMBER(((Datos!L31/Datos!K31)*11)/factor_trimestre),((Datos!L31/Datos!K31)*11)/factor_trimestre," - ")</f>
        <v>4.1673341270700295</v>
      </c>
      <c r="BI31" s="1103">
        <f>IF(ISNUMBER(Datos!J31/Datos!I31),Datos!J31/Datos!I31," - ")</f>
        <v>0.63016131419268906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-1.9470129870129871</v>
      </c>
      <c r="BM31" s="1188">
        <f>IF(ISNUMBER((Datos!P31-Datos!Q31+R31)/(Datos!R31-Datos!P31+Datos!Q31-R31)),(Datos!P31-Datos!Q31+R31)/(Datos!R31-Datos!P31+Datos!Q31-R31)," - ")</f>
        <v>-1.0945644080416976E-2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626.57142857142856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2.9259876125458786</v>
      </c>
      <c r="F33" s="673">
        <f>IF(ISNUMBER(STDEV(F8:F30)),STDEV(F8:F30),"-")</f>
        <v>938.08841090094847</v>
      </c>
      <c r="G33" s="674">
        <f>IF(ISNUMBER(STDEV(G8:G30)),STDEV(G8:G30),"-")</f>
        <v>924.31215094304173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1675.6381300439373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766.51676070679923</v>
      </c>
      <c r="BD33" s="673"/>
      <c r="BE33" s="673">
        <f>IF(ISNUMBER(STDEV(BE8:BE30)),STDEV(BE8:BE30),"-")</f>
        <v>0</v>
      </c>
      <c r="BF33" s="678">
        <f>IF(ISNUMBER(STDEV(BF8:BF30)),STDEV(BF8:BF30),"-")</f>
        <v>0</v>
      </c>
      <c r="BG33" s="1052">
        <f>IF(ISNUMBER(STDEV(BG8:BG30)),STDEV(BG8:BG30),"-")</f>
        <v>0.16016301237860775</v>
      </c>
      <c r="BH33" s="1058">
        <f>IF(ISNUMBER(STDEV(BH8:BH30)),STDEV(BH8:BH30),"-")</f>
        <v>2.2368485689342781</v>
      </c>
      <c r="BI33" s="273">
        <f>IF(ISNUMBER(STDEV(BI8:BI30)),STDEV(BI8:BI30),"-")</f>
        <v>0.1310726342754612</v>
      </c>
      <c r="BJ33" s="244" t="str">
        <f>IF(ISNUMBER(BL33/BM33),BL33/BM33," - ")</f>
        <v xml:space="preserve"> - </v>
      </c>
      <c r="BK33" s="709"/>
      <c r="BL33" s="681">
        <f>IF(ISNUMBER(STDEV(BL8:BL30)),STDEV(BL8:BL30),"-")</f>
        <v>1.0584896244693061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b/y1R4R5Fq+47StuWygGaKcgka9Ur4pFqPaBntm48hASzyOqHGZOeo2eNIUnxIWO/qlDwJmhT1QOCGpvkk67w==" saltValue="QWQ51Z9yroBNjAmCigEvV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MADRID</v>
      </c>
    </row>
    <row r="2" spans="1:73" ht="16.5" customHeight="1">
      <c r="C2" s="647" t="str">
        <f>Criterios!A10 &amp;"  "&amp;Criterios!B10 &amp; "  " &amp; IF(NOT(ISBLANK(Criterios!A11)),Criterios!A11 &amp;"  "&amp;Criterios!B11,"")</f>
        <v>Provincias  MADRID  Resumenes por Partidos Judiciales  MOSTOLES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6</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661</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809</v>
      </c>
      <c r="AA9" s="551" t="str">
        <f>IF(ISNUMBER(IF(J_V="SI",Datos!L9,Datos!L9+Datos!AB9)-IF(Monitorios="SI",Datos!CD9,0)),
                          IF(J_V="SI",Datos!L9,Datos!L9+Datos!AB9)-IF(Monitorios="SI",Datos!CD9,0),
                          " - ")</f>
        <v xml:space="preserve"> - </v>
      </c>
      <c r="AB9" s="549"/>
      <c r="AC9" s="549"/>
      <c r="AD9" s="563"/>
      <c r="AE9" s="563">
        <f>IF(ISNUMBER(Datos!R9),Datos!R9," - ")</f>
        <v>12049</v>
      </c>
      <c r="AF9" s="693" t="str">
        <f>IF(ISNUMBER(Datos!BV9),Datos!BV9," - ")</f>
        <v xml:space="preserve"> - </v>
      </c>
      <c r="AG9" s="552" t="str">
        <f>IF(ISNUMBER(Datos!DV9),Datos!DV9," - ")</f>
        <v xml:space="preserve"> - </v>
      </c>
      <c r="AH9" s="553"/>
      <c r="AI9" s="554"/>
      <c r="AJ9" s="552">
        <f>IF(ISNUMBER(Datos!M9),Datos!M9," - ")</f>
        <v>1725</v>
      </c>
      <c r="AK9" s="693">
        <f>IF(ISNUMBER(Datos!N9),Datos!N9," - ")</f>
        <v>2473</v>
      </c>
      <c r="AL9" s="693" t="str">
        <f>IF(ISNUMBER(Datos!BW9),Datos!BW9," - ")</f>
        <v xml:space="preserve"> - </v>
      </c>
      <c r="AM9" s="762" t="str">
        <f>IF(ISNUMBER(Datos!BX9),Datos!BX9," - ")</f>
        <v xml:space="preserve"> - </v>
      </c>
      <c r="AN9" s="763"/>
      <c r="AO9" s="764">
        <f>IF(ISNUMBER(((NºAsuntos!I9/NºAsuntos!G9)*11)/factor_trimestre),((NºAsuntos!I9/NºAsuntos!G9)*11)/factor_trimestre," - ")</f>
        <v>5.6895562356541696</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-1.213413134377306E-2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73</v>
      </c>
      <c r="G10" s="552">
        <f>IF(ISNUMBER(Datos!I10),Datos!I10," - ")</f>
        <v>73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37</v>
      </c>
      <c r="Z10" s="805">
        <f>IF(ISNUMBER(Datos!Q10),Datos!Q10," - ")</f>
        <v>21</v>
      </c>
      <c r="AA10" s="551">
        <f>IF(ISNUMBER(Datos!L10),Datos!L10,"-")</f>
        <v>90</v>
      </c>
      <c r="AB10" s="549"/>
      <c r="AC10" s="549"/>
      <c r="AD10" s="563"/>
      <c r="AE10" s="563">
        <f>IF(ISNUMBER(Datos!R10),Datos!R10," - ")</f>
        <v>86</v>
      </c>
      <c r="AF10" s="693" t="str">
        <f>IF(ISNUMBER(Datos!BV10),Datos!BV10," - ")</f>
        <v xml:space="preserve"> - </v>
      </c>
      <c r="AG10" s="552" t="str">
        <f>IF(ISNUMBER(Datos!DV10),Datos!DV10," - ")</f>
        <v xml:space="preserve"> - </v>
      </c>
      <c r="AH10" s="553"/>
      <c r="AI10" s="554"/>
      <c r="AJ10" s="552">
        <f>IF(ISNUMBER(Datos!M10),Datos!M10," - ")</f>
        <v>9</v>
      </c>
      <c r="AK10" s="693">
        <f>IF(ISNUMBER(Datos!N10),Datos!N10," - ")</f>
        <v>7</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7.2972972972972983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-9.4736842105263161E-2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2</v>
      </c>
      <c r="B11" s="746" t="s">
        <v>321</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56</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39</v>
      </c>
      <c r="AA11" s="551" t="str">
        <f>IF(ISNUMBER(IF(J_V="SI",Datos!L11,Datos!L11+Datos!AB11)-IF(Monitorios="SI",Datos!CD11,0)),
                          IF(J_V="SI",Datos!L11,Datos!L11+Datos!AB11)-IF(Monitorios="SI",Datos!CD11,0),
                          " - ")</f>
        <v xml:space="preserve"> - </v>
      </c>
      <c r="AB11" s="549"/>
      <c r="AC11" s="549"/>
      <c r="AD11" s="563"/>
      <c r="AE11" s="563">
        <f>IF(ISNUMBER(Datos!R11),Datos!R11," - ")</f>
        <v>783</v>
      </c>
      <c r="AF11" s="693" t="str">
        <f>IF(ISNUMBER(Datos!BV11),Datos!BV11," - ")</f>
        <v xml:space="preserve"> - </v>
      </c>
      <c r="AG11" s="552" t="str">
        <f>IF(ISNUMBER(Datos!DV11),Datos!DV11," - ")</f>
        <v xml:space="preserve"> - </v>
      </c>
      <c r="AH11" s="553"/>
      <c r="AI11" s="554"/>
      <c r="AJ11" s="552">
        <f>IF(ISNUMBER(Datos!M11),Datos!M11," - ")</f>
        <v>204</v>
      </c>
      <c r="AK11" s="693">
        <f>IF(ISNUMBER(Datos!N11),Datos!N11," - ")</f>
        <v>328</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4.7002967359050443</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2.2193211488250653E-2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9</v>
      </c>
      <c r="F14" s="1197">
        <f>SUBTOTAL(9,F8:F13)</f>
        <v>73</v>
      </c>
      <c r="G14" s="1197">
        <f>SUBTOTAL(9,G8:G13)</f>
        <v>73</v>
      </c>
      <c r="H14" s="1211"/>
      <c r="I14" s="1197">
        <f t="shared" ref="I14:N14" si="1">SUBTOTAL(9,I8:I13)</f>
        <v>0</v>
      </c>
      <c r="J14" s="1164">
        <f t="shared" si="1"/>
        <v>0</v>
      </c>
      <c r="K14" s="1211">
        <f t="shared" si="1"/>
        <v>0</v>
      </c>
      <c r="L14" s="1211">
        <f t="shared" si="1"/>
        <v>0</v>
      </c>
      <c r="M14" s="1211">
        <f t="shared" si="1"/>
        <v>0</v>
      </c>
      <c r="N14" s="1211">
        <f t="shared" si="1"/>
        <v>729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37</v>
      </c>
      <c r="Z14" s="1210">
        <f t="shared" si="3"/>
        <v>869</v>
      </c>
      <c r="AA14" s="1199">
        <f t="shared" si="3"/>
        <v>90</v>
      </c>
      <c r="AB14" s="1199">
        <f t="shared" si="3"/>
        <v>0</v>
      </c>
      <c r="AC14" s="1199">
        <f t="shared" si="3"/>
        <v>0</v>
      </c>
      <c r="AD14" s="1199">
        <f t="shared" si="3"/>
        <v>0</v>
      </c>
      <c r="AE14" s="1199">
        <f t="shared" si="3"/>
        <v>12918</v>
      </c>
      <c r="AF14" s="1211">
        <f t="shared" si="3"/>
        <v>0</v>
      </c>
      <c r="AG14" s="1211">
        <f t="shared" si="3"/>
        <v>0</v>
      </c>
      <c r="AH14" s="1211">
        <f t="shared" si="3"/>
        <v>0</v>
      </c>
      <c r="AI14" s="1211">
        <f t="shared" si="3"/>
        <v>0</v>
      </c>
      <c r="AJ14" s="1211">
        <f t="shared" si="3"/>
        <v>1938</v>
      </c>
      <c r="AK14" s="1211">
        <f t="shared" si="3"/>
        <v>2808</v>
      </c>
      <c r="AL14" s="1211">
        <f t="shared" si="3"/>
        <v>0</v>
      </c>
      <c r="AM14" s="1211">
        <f t="shared" si="3"/>
        <v>0</v>
      </c>
      <c r="AN14" s="1211">
        <f t="shared" si="3"/>
        <v>0</v>
      </c>
      <c r="AO14" s="1203">
        <f>IF(ISNUMBER(((NºAsuntos!I14/NºAsuntos!G14)*11)/factor_trimestre),((NºAsuntos!I14/NºAsuntos!G14)*11)/factor_trimestre," - ")</f>
        <v>5.5873042599764275</v>
      </c>
      <c r="AP14" s="1213" t="str">
        <f>IF(ISNUMBER(Datos!CI14/Datos!CJ14),Datos!CI14/Datos!CJ14," - ")</f>
        <v xml:space="preserve"> - </v>
      </c>
      <c r="AQ14" s="1236">
        <f t="shared" ref="AQ14:AV14" si="4">SUBTOTAL(9,AQ9:AQ13)</f>
        <v>0</v>
      </c>
      <c r="AR14" s="1236">
        <f t="shared" si="4"/>
        <v>-8.4677761960785566E-2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6</v>
      </c>
      <c r="B16" s="746" t="s">
        <v>511</v>
      </c>
      <c r="C16" s="765" t="str">
        <f>Datos!A16</f>
        <v xml:space="preserve">Jdos. Instrucción                               </v>
      </c>
      <c r="D16" s="593"/>
      <c r="E16" s="1558">
        <f>IF(ISNUMBER(Datos!AQ16),Datos!AQ16," - ")</f>
        <v>6</v>
      </c>
      <c r="F16" s="543">
        <f>IF(ISNUMBER(AA16+Y16-Datos!J16-K16),AA16+Y16-Datos!J16-K16," - ")</f>
        <v>1852</v>
      </c>
      <c r="G16" s="552">
        <f>IF(ISNUMBER(IF(D_I="SI",Datos!I16,Datos!I16+Datos!AC16)),IF(D_I="SI",Datos!I16,Datos!I16+Datos!AC16)," - ")</f>
        <v>1809</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83</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3307</v>
      </c>
      <c r="Z16" s="805">
        <f>IF(ISNUMBER(Datos!Q16),Datos!Q16," - ")</f>
        <v>90</v>
      </c>
      <c r="AA16" s="551">
        <f>IF(ISNUMBER(IF(D_I="SI",Datos!L16,Datos!L16+Datos!AF16)),IF(D_I="SI",Datos!L16,Datos!L16+Datos!AF16)," - ")</f>
        <v>1796</v>
      </c>
      <c r="AB16" s="549"/>
      <c r="AC16" s="549"/>
      <c r="AD16" s="563"/>
      <c r="AE16" s="563">
        <f>IF(ISNUMBER(Datos!R16),Datos!R16," - ")</f>
        <v>348</v>
      </c>
      <c r="AF16" s="693" t="str">
        <f>IF(ISNUMBER(Datos!BV16),Datos!BV16," - ")</f>
        <v xml:space="preserve"> - </v>
      </c>
      <c r="AG16" s="552"/>
      <c r="AH16" s="553"/>
      <c r="AI16" s="554"/>
      <c r="AJ16" s="552">
        <f>IF(ISNUMBER(Datos!M16),Datos!M16," - ")</f>
        <v>321</v>
      </c>
      <c r="AK16" s="693">
        <f>IF(ISNUMBER(Datos!N16),Datos!N16," - ")</f>
        <v>1872</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1.6292712428182643</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311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404</v>
      </c>
      <c r="Z18" s="805">
        <f>IF(ISNUMBER(Datos!Q18),Datos!Q18," - ")</f>
        <v>2</v>
      </c>
      <c r="AA18" s="551">
        <f>IF(ISNUMBER(Datos!L18),Datos!L18,"-")</f>
        <v>345</v>
      </c>
      <c r="AB18" s="549"/>
      <c r="AC18" s="549"/>
      <c r="AD18" s="563"/>
      <c r="AE18" s="563">
        <f>IF(ISNUMBER(Datos!R18),Datos!R18," - ")</f>
        <v>17</v>
      </c>
      <c r="AF18" s="693" t="str">
        <f>IF(ISNUMBER(Datos!BV18),Datos!BV18," - ")</f>
        <v xml:space="preserve"> - </v>
      </c>
      <c r="AG18" s="552" t="str">
        <f>IF(ISNUMBER(Datos!DV18),Datos!DV18," - ")</f>
        <v xml:space="preserve"> - </v>
      </c>
      <c r="AH18" s="553"/>
      <c r="AI18" s="554"/>
      <c r="AJ18" s="552">
        <f>IF(ISNUMBER(Datos!M18),Datos!M18," - ")</f>
        <v>8</v>
      </c>
      <c r="AK18" s="693">
        <f>IF(ISNUMBER(Datos!N18),Datos!N18," - ")</f>
        <v>248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2.5618811881188117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7</v>
      </c>
      <c r="F23" s="1197">
        <f>SUBTOTAL(9,F16:F22)</f>
        <v>1852</v>
      </c>
      <c r="G23" s="1197">
        <f>SUBTOTAL(9,G16:G22)</f>
        <v>2120</v>
      </c>
      <c r="H23" s="1240">
        <f>SUBTOTAL(9,H16:H22)</f>
        <v>0</v>
      </c>
      <c r="I23" s="1217">
        <f>SUBTOTAL(9,I16:I22)</f>
        <v>0</v>
      </c>
      <c r="J23" s="1164">
        <f>SUBTOTAL(9,J15:J22)</f>
        <v>0</v>
      </c>
      <c r="K23" s="1240">
        <f t="shared" ref="K23:S23" si="5">SUBTOTAL(9,K16:K22)</f>
        <v>0</v>
      </c>
      <c r="L23" s="1240">
        <f t="shared" si="5"/>
        <v>0</v>
      </c>
      <c r="M23" s="1240">
        <f t="shared" si="5"/>
        <v>0</v>
      </c>
      <c r="N23" s="1240">
        <f t="shared" si="5"/>
        <v>85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3711</v>
      </c>
      <c r="Z23" s="1240">
        <f t="shared" si="6"/>
        <v>92</v>
      </c>
      <c r="AA23" s="1240">
        <f t="shared" si="6"/>
        <v>2141</v>
      </c>
      <c r="AB23" s="1240">
        <f t="shared" si="6"/>
        <v>0</v>
      </c>
      <c r="AC23" s="1240">
        <f t="shared" si="6"/>
        <v>0</v>
      </c>
      <c r="AD23" s="1240">
        <f t="shared" si="6"/>
        <v>0</v>
      </c>
      <c r="AE23" s="1240">
        <f t="shared" si="6"/>
        <v>365</v>
      </c>
      <c r="AF23" s="1240">
        <f t="shared" si="6"/>
        <v>0</v>
      </c>
      <c r="AG23" s="1240">
        <f t="shared" si="6"/>
        <v>0</v>
      </c>
      <c r="AH23" s="1240">
        <f t="shared" si="6"/>
        <v>0</v>
      </c>
      <c r="AI23" s="1240">
        <f t="shared" si="6"/>
        <v>0</v>
      </c>
      <c r="AJ23" s="1240">
        <f t="shared" si="6"/>
        <v>329</v>
      </c>
      <c r="AK23" s="1240">
        <f t="shared" si="6"/>
        <v>2120</v>
      </c>
      <c r="AL23" s="1240">
        <f t="shared" si="6"/>
        <v>0</v>
      </c>
      <c r="AM23" s="1240">
        <f t="shared" si="6"/>
        <v>0</v>
      </c>
      <c r="AN23" s="1240">
        <f t="shared" si="6"/>
        <v>0</v>
      </c>
      <c r="AO23" s="1242">
        <f>IF(ISNUMBER(((NºAsuntos!I23/NºAsuntos!G23)*11)/factor_trimestre),((NºAsuntos!I23/NºAsuntos!G23)*11)/factor_trimestre," - ")</f>
        <v>1.730800323362975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16</v>
      </c>
      <c r="F31" s="1117">
        <f t="shared" si="12"/>
        <v>1925</v>
      </c>
      <c r="G31" s="1117">
        <f t="shared" si="12"/>
        <v>2193</v>
      </c>
      <c r="H31" s="1118">
        <f t="shared" si="12"/>
        <v>0</v>
      </c>
      <c r="I31" s="1117">
        <f t="shared" si="12"/>
        <v>0</v>
      </c>
      <c r="J31" s="1119">
        <f t="shared" si="12"/>
        <v>0</v>
      </c>
      <c r="K31" s="1117">
        <f t="shared" si="12"/>
        <v>0</v>
      </c>
      <c r="L31" s="1120">
        <f t="shared" si="12"/>
        <v>0</v>
      </c>
      <c r="M31" s="1117">
        <f t="shared" si="12"/>
        <v>0</v>
      </c>
      <c r="N31" s="1118">
        <f t="shared" si="12"/>
        <v>814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3748</v>
      </c>
      <c r="Z31" s="1124">
        <f t="shared" si="13"/>
        <v>961</v>
      </c>
      <c r="AA31" s="1125">
        <f t="shared" si="13"/>
        <v>2231</v>
      </c>
      <c r="AB31" s="1125">
        <f t="shared" si="13"/>
        <v>0</v>
      </c>
      <c r="AC31" s="1125">
        <f t="shared" si="13"/>
        <v>0</v>
      </c>
      <c r="AD31" s="1126">
        <f t="shared" si="13"/>
        <v>0</v>
      </c>
      <c r="AE31" s="1126">
        <f t="shared" si="13"/>
        <v>13283</v>
      </c>
      <c r="AF31" s="1127">
        <f t="shared" si="13"/>
        <v>0</v>
      </c>
      <c r="AG31" s="1128">
        <f t="shared" si="13"/>
        <v>0</v>
      </c>
      <c r="AH31" s="1129">
        <f t="shared" si="13"/>
        <v>0</v>
      </c>
      <c r="AI31" s="1127">
        <f t="shared" si="13"/>
        <v>0</v>
      </c>
      <c r="AJ31" s="1117">
        <f t="shared" si="13"/>
        <v>2267</v>
      </c>
      <c r="AK31" s="1117">
        <f t="shared" si="13"/>
        <v>4928</v>
      </c>
      <c r="AL31" s="1117">
        <f t="shared" si="13"/>
        <v>0</v>
      </c>
      <c r="AM31" s="1130">
        <f t="shared" si="13"/>
        <v>0</v>
      </c>
      <c r="AN31" s="1120">
        <f>IF(ISNUMBER(Datos!K31/Datos!J31),Datos!K31/Datos!J31," - ")</f>
        <v>1.0848990136214185</v>
      </c>
      <c r="AO31" s="1120">
        <f>IF(ISNUMBER(FIND("06",Criterios!A8,1)),(IF(ISNUMBER(((Datos!R31/Datos!Q31)*11)/factor_trimestre),((Datos!R31/Datos!Q31)*11)/factor_trimestre," - ")),(IF(ISNUMBER(((Datos!L31/Datos!K31)*11)/factor_trimestre),((Datos!L31/Datos!K31)*11)/factor_trimestre," - ")))</f>
        <v>4.1673341270700295</v>
      </c>
      <c r="AP31" s="1131" t="str">
        <f>IF(ISNUMBER(Datos!CI31/Datos!CJ31),Datos!CI31/Datos!CJ31," - ")</f>
        <v xml:space="preserve"> - </v>
      </c>
      <c r="AQ31" s="1131">
        <f>IF(OR(ISNUMBER(FIND("01",Criterios!A8,1)),ISNUMBER(FIND("02",Criterios!A8,1)),ISNUMBER(FIND("03",Criterios!A8,1)),ISNUMBER(FIND("04",Criterios!A8,1))),(J31-Y31+K31)/(F31-K31),(I31-Y31+K31)/(F31-K31))</f>
        <v>-1.9470129870129871</v>
      </c>
      <c r="AR31" s="1131">
        <f>IF(ISNUMBER((Datos!P31-Datos!Q31+O31)/(Datos!R31-Datos!P31+Datos!Q31-O31)),(Datos!P31-Datos!Q31+O31)/(Datos!R31-Datos!P31+Datos!Q31-O31)," - ")</f>
        <v>-1.0945644080416976E-2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626.57142857142856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938.08841090094847</v>
      </c>
      <c r="G33" s="674">
        <f>IF(ISNUMBER(STDEV(G8:G30)),STDEV(G8:G30),"-")</f>
        <v>924.31215094304173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766.51676070679923</v>
      </c>
      <c r="AK33" s="276"/>
      <c r="AL33" s="276">
        <f>IF(ISNUMBER(STDEV(AL8:AL30)),STDEV(AL8:AL30),"-")</f>
        <v>0</v>
      </c>
      <c r="AM33" s="278">
        <f>IF(ISNUMBER(STDEV(AM8:AM30)),STDEV(AM8:AM30),"-")</f>
        <v>0</v>
      </c>
      <c r="AN33" s="660">
        <f>IF(ISNUMBER(STDEV(AN8:AN30)),STDEV(AN8:AN30),"-")</f>
        <v>0</v>
      </c>
      <c r="AO33" s="661">
        <f>IF(ISNUMBER(STDEV(AO8:AO30)),STDEV(AO8:AO30),"-")</f>
        <v>2.2124663259548938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8zbha/gOFwq7TstD2AedQKmMSdYxrHPf/yo2M7DjtftkjLsMA5/vlluG3XXk47Df4AWfCRgMWA7d52nHUVq+GQ==" saltValue="Y40dj3AxZFvdKtDoDCmTD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iHDk7Yx8UKVL9dBoFK95e5vAZgbnWt9ndUSllIHw1UBeF8wDG9fmhIpLqaieRYkR3H3b/L0L8rOrhDugiY3xfw==" saltValue="7JNlBAiH5fJTrz9Pf83yn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Ag8PV2xEQ6SqPHLYkzDdzNr0WT+ftdvPup0UEeLiohaTWoO5W8v2HRl56wUH6QZq7LcacBv5rprKd96ggUsRQ==" saltValue="NULYC5H005fHZS5LWdwK5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MADRID</v>
      </c>
      <c r="F1" s="856"/>
    </row>
    <row r="2" spans="1:75" ht="16.5" customHeight="1">
      <c r="C2" s="567" t="str">
        <f>Criterios!A10 &amp;"  "&amp;Criterios!B10 &amp; "  " &amp; IF(NOT(ISBLANK(Criterios!A11)),Criterios!A11 &amp;"  "&amp;Criterios!B11,"")</f>
        <v>Provincias  MADRID  Resumenes por Partidos Judiciales  MOSTOLES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0.32631756187910421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0.23074136082497543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7HTR5Zbm2+/zyj4eIO2cJVXAqv1QEUKuY23pWTTw4mmcfEMFj1avBr0kFGCbr81AbuP6NoxeL+CvqbIMKQ+enw==" saltValue="LO1NQgsCOQZ/YVP7AfmSh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9AiMICAkdf8q1IPvwI5Uk7Kv6iLpHAe26s3GeUVD5ZRdaMPNMEbMuIum3/nWmyMFK9pfzDcgL/7MuxalqA4+GQ==" saltValue="JXPZaS3MNYuqu1neStoOb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MADRID</v>
      </c>
      <c r="C2" s="436"/>
      <c r="D2" s="436"/>
      <c r="E2" s="436"/>
      <c r="F2" s="436"/>
    </row>
    <row r="3" spans="1:14" ht="19.5">
      <c r="A3" s="438" t="s">
        <v>159</v>
      </c>
      <c r="B3" s="439" t="str">
        <f>Criterios!A10 &amp;"  "&amp;Criterios!B10</f>
        <v>Provincias  MADRID</v>
      </c>
      <c r="D3" s="436"/>
      <c r="E3" s="436"/>
      <c r="F3" s="436"/>
    </row>
    <row r="4" spans="1:14" ht="13.5" thickBot="1">
      <c r="A4" s="436"/>
      <c r="B4" s="439" t="str">
        <f>Criterios!A11 &amp;"  "&amp;Criterios!B11</f>
        <v>Resumenes por Partidos Judiciales  MOSTOLES</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6</v>
      </c>
      <c r="C9" s="451">
        <f>IF(ISNUMBER(IF(J_V="SI",Datos!I9,Datos!I9+Datos!Y9)),IF(J_V="SI",Datos!I9,Datos!I9+Datos!Y9)," - ")</f>
        <v>10660</v>
      </c>
      <c r="D9" s="452">
        <f>IF(ISNUMBER(C9/Datos!BH9),C9/Datos!BH9," - ")</f>
        <v>1776.6666666666667</v>
      </c>
      <c r="E9" s="451">
        <f>IF(ISNUMBER(IF(J_V="SI",Datos!J9,Datos!J9+Datos!Z9)),IF(J_V="SI",Datos!J9,Datos!J9+Datos!Z9)," - ")</f>
        <v>4483</v>
      </c>
      <c r="F9" s="452">
        <f>IF(ISNUMBER(E9/B9),E9/B9," - ")</f>
        <v>747.16666666666663</v>
      </c>
      <c r="G9" s="451">
        <f>IF(ISNUMBER(IF(J_V="SI",Datos!K9,Datos!K9+Datos!AA9)),IF(J_V="SI",Datos!K9,Datos!K9+Datos!AA9)," - ")</f>
        <v>5228</v>
      </c>
      <c r="H9" s="452">
        <f>IF(ISNUMBER(G9/B9),G9/B9," - ")</f>
        <v>871.33333333333337</v>
      </c>
      <c r="I9" s="451">
        <f>IF(ISNUMBER(IF(J_V="SI",Datos!L9,Datos!L9+Datos!AB9)),IF(J_V="SI",Datos!L9,Datos!L9+Datos!AB9)," - ")</f>
        <v>9915</v>
      </c>
      <c r="J9" s="452">
        <f>IF(ISNUMBER(I9/B9),I9/B9," - ")</f>
        <v>1652.5</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73</v>
      </c>
      <c r="D10" s="452">
        <f>IF(ISNUMBER(C10/Datos!BH10),C10/Datos!BH10," - ")</f>
        <v>73</v>
      </c>
      <c r="E10" s="451">
        <f>IF(ISNUMBER(Datos!J10),Datos!J10," - ")</f>
        <v>54</v>
      </c>
      <c r="F10" s="452">
        <f>IF(ISNUMBER(E10/B10),E10/B10," - ")</f>
        <v>54</v>
      </c>
      <c r="G10" s="451">
        <f>IF(ISNUMBER(Datos!K10),Datos!K10," - ")</f>
        <v>37</v>
      </c>
      <c r="H10" s="452">
        <f>IF(ISNUMBER(G10/B10),G10/B10," - ")</f>
        <v>37</v>
      </c>
      <c r="I10" s="451">
        <f>IF(ISNUMBER(Datos!L10),Datos!L10," - ")</f>
        <v>90</v>
      </c>
      <c r="J10" s="452">
        <f>IF(ISNUMBER(I10/B10),I10/B10," - ")</f>
        <v>90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1062</v>
      </c>
      <c r="D11" s="452">
        <f>IF(ISNUMBER(C11/Datos!BH11),C11/Datos!BH11," - ")</f>
        <v>531</v>
      </c>
      <c r="E11" s="451">
        <f>IF(ISNUMBER(IF(J_V="SI",Datos!J11,Datos!J11+Datos!Z11)),IF(J_V="SI",Datos!J11,Datos!J11+Datos!Z11)," - ")</f>
        <v>668</v>
      </c>
      <c r="F11" s="452">
        <f>IF(ISNUMBER(E11/B11),E11/B11," - ")</f>
        <v>334</v>
      </c>
      <c r="G11" s="451">
        <f>IF(ISNUMBER(IF(J_V="SI",Datos!K11,Datos!K11+Datos!AA11)),IF(J_V="SI",Datos!K11,Datos!K11+Datos!AA11)," - ")</f>
        <v>674</v>
      </c>
      <c r="H11" s="452">
        <f>IF(ISNUMBER(G11/B11),G11/B11," - ")</f>
        <v>337</v>
      </c>
      <c r="I11" s="451">
        <f>IF(ISNUMBER(IF(J_V="SI",Datos!L11,Datos!L11+Datos!AB11)),IF(J_V="SI",Datos!L11,Datos!L11+Datos!AB11)," - ")</f>
        <v>1056</v>
      </c>
      <c r="J11" s="452">
        <f>IF(ISNUMBER(I11/B11),I11/B11," - ")</f>
        <v>528</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9</v>
      </c>
      <c r="C14" s="1146">
        <f>SUBTOTAL(9,C8:C13)</f>
        <v>11795</v>
      </c>
      <c r="D14" s="1147" t="str">
        <f>IF(ISNUMBER(C14/Datos!BI14),C14/Datos!BI14," - ")</f>
        <v xml:space="preserve"> - </v>
      </c>
      <c r="E14" s="1146">
        <f>SUBTOTAL(9,E8:E13)</f>
        <v>5205</v>
      </c>
      <c r="F14" s="1147">
        <f>IF(ISNUMBER(E14/B14),E14/B14," - ")</f>
        <v>578.33333333333337</v>
      </c>
      <c r="G14" s="1146">
        <f>SUBTOTAL(9,G8:G13)</f>
        <v>5939</v>
      </c>
      <c r="H14" s="1147">
        <f>IF(ISNUMBER(G14/B14),G14/B14," - ")</f>
        <v>659.88888888888891</v>
      </c>
      <c r="I14" s="1146">
        <f>SUBTOTAL(9,I8:I13)</f>
        <v>11061</v>
      </c>
      <c r="J14" s="1147">
        <f>IF(ISNUMBER(I14/B14),I14/B14," - ")</f>
        <v>1229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6</v>
      </c>
      <c r="C16" s="451">
        <f>IF(ISNUMBER(IF(D_I="SI",Datos!I16,Datos!I16+Datos!AC16)),IF(D_I="SI",Datos!I16,Datos!I16+Datos!AC16)," - ")</f>
        <v>1809</v>
      </c>
      <c r="D16" s="452">
        <f>IF(ISNUMBER(C16/Datos!BH16),C16/Datos!BH16," - ")</f>
        <v>301.5</v>
      </c>
      <c r="E16" s="451">
        <f>IF(ISNUMBER(IF(D_I="SI",Datos!J16,Datos!J16+Datos!AD16)),IF(D_I="SI",Datos!J16,Datos!J16+Datos!AD16)," - ")</f>
        <v>3251</v>
      </c>
      <c r="F16" s="452">
        <f>IF(ISNUMBER(E16/B16),E16/B16," - ")</f>
        <v>541.83333333333337</v>
      </c>
      <c r="G16" s="451">
        <f>IF(ISNUMBER(IF(D_I="SI",Datos!K16,Datos!K16+Datos!AE16)),IF(D_I="SI",Datos!K16,Datos!K16+Datos!AE16)," - ")</f>
        <v>3307</v>
      </c>
      <c r="H16" s="452">
        <f>IF(ISNUMBER(G16/B16),G16/B16," - ")</f>
        <v>551.16666666666663</v>
      </c>
      <c r="I16" s="451">
        <f>IF(ISNUMBER(IF(D_I="SI",Datos!L16,Datos!L16+Datos!AF16)),IF(D_I="SI",Datos!L16,Datos!L16+Datos!AF16)," - ")</f>
        <v>1796</v>
      </c>
      <c r="J16" s="452">
        <f>IF(ISNUMBER(I16/B16),I16/B16," - ")</f>
        <v>299.33333333333331</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311</v>
      </c>
      <c r="D18" s="452">
        <f>IF(ISNUMBER(C18/Datos!BH18),C18/Datos!BH18," - ")</f>
        <v>311</v>
      </c>
      <c r="E18" s="451">
        <f>IF(ISNUMBER(IF(D_I="SI",Datos!J18,Datos!J18+Datos!AD18)),IF(D_I="SI",Datos!J18,Datos!J18+Datos!AD18)," - ")</f>
        <v>438</v>
      </c>
      <c r="F18" s="452">
        <f>IF(ISNUMBER(E18/B18),E18/B18," - ")</f>
        <v>438</v>
      </c>
      <c r="G18" s="451">
        <f>IF(ISNUMBER(IF(D_I="SI",Datos!K18,Datos!K18+Datos!AE18)),IF(D_I="SI",Datos!K18,Datos!K18+Datos!AE18)," - ")</f>
        <v>404</v>
      </c>
      <c r="H18" s="452">
        <f>IF(ISNUMBER(G18/B18),G18/B18," - ")</f>
        <v>404</v>
      </c>
      <c r="I18" s="451">
        <f>IF(ISNUMBER(IF(D_I="SI",Datos!L18,Datos!L18+Datos!AF18)),IF(D_I="SI",Datos!L18,Datos!L18+Datos!AF18)," - ")</f>
        <v>345</v>
      </c>
      <c r="J18" s="452">
        <f>IF(ISNUMBER(I18/B18),I18/B18," - ")</f>
        <v>345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7</v>
      </c>
      <c r="C23" s="1146">
        <f>SUBTOTAL(9,C15:C22)</f>
        <v>2120</v>
      </c>
      <c r="D23" s="1147" t="str">
        <f>IF(ISNUMBER(C23/Datos!BI23),C23/Datos!BI23," - ")</f>
        <v xml:space="preserve"> - </v>
      </c>
      <c r="E23" s="1146">
        <f>SUBTOTAL(9,E15:E22)</f>
        <v>3689</v>
      </c>
      <c r="F23" s="1147">
        <f>IF(ISNUMBER(E23/B23),E23/B23," - ")</f>
        <v>527</v>
      </c>
      <c r="G23" s="1146">
        <f>SUBTOTAL(9,G15:G22)</f>
        <v>3711</v>
      </c>
      <c r="H23" s="1147">
        <f>IF(ISNUMBER(G23/B23),G23/B23," - ")</f>
        <v>530.14285714285711</v>
      </c>
      <c r="I23" s="1146">
        <f>SUBTOTAL(9,I15:I22)</f>
        <v>2141</v>
      </c>
      <c r="J23" s="1147">
        <f>IF(ISNUMBER(I23/B23),I23/B23," - ")</f>
        <v>305.85714285714283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15</v>
      </c>
      <c r="C31" s="1084">
        <f>SUBTOTAL(9,C9:C30)</f>
        <v>13915</v>
      </c>
      <c r="D31" s="1085" t="str">
        <f>IF(ISNUMBER(C31/Datos!BI31),C31/Datos!BI31," - ")</f>
        <v xml:space="preserve"> - </v>
      </c>
      <c r="E31" s="1084">
        <f>SUBTOTAL(9,E9:E30)</f>
        <v>8894</v>
      </c>
      <c r="F31" s="1085">
        <f>IF(ISNUMBER(E31/B31),E31/B31," - ")</f>
        <v>592.93333333333328</v>
      </c>
      <c r="G31" s="1084">
        <f>SUBTOTAL(9,G9:G30)</f>
        <v>9650</v>
      </c>
      <c r="H31" s="1085">
        <f>IF(ISNUMBER(G31/B31),G31/B31," - ")</f>
        <v>643.33333333333337</v>
      </c>
      <c r="I31" s="1084">
        <f>SUBTOTAL(9,I9:I30)</f>
        <v>13202</v>
      </c>
      <c r="J31" s="1085">
        <f>IF(ISNUMBER(I31/B31),I31/B31," - ")</f>
        <v>880.13333333333333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xFqP56IPBeKRDYm8xfPUezcleMCxPI2VKhaCD2fYYPaY/igvlARqCYrHVY/4s4fw5vlZ7o9Dog7gqzggxkCNlg==" saltValue="nL60Rda9AZnuUABdqNioH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MADRID</v>
      </c>
      <c r="F1" s="856"/>
      <c r="W1"/>
      <c r="X1"/>
      <c r="BE1" s="856"/>
    </row>
    <row r="2" spans="1:65" ht="16.5" customHeight="1">
      <c r="C2" s="567" t="str">
        <f>Criterios!A10 &amp;"  "&amp;Criterios!B10 &amp; "  " &amp; IF(NOT(ISBLANK(Criterios!A11)),Criterios!A11 &amp;"  "&amp;Criterios!B11,"")</f>
        <v>Provincias  MADRID  Resumenes por Partidos Judiciales  MOSTOLES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6</v>
      </c>
      <c r="B9" s="745" t="s">
        <v>321</v>
      </c>
      <c r="C9" s="765" t="str">
        <f>Datos!A9</f>
        <v xml:space="preserve">Jdos. 1ª Instancia   </v>
      </c>
      <c r="D9" s="593"/>
      <c r="E9" s="904">
        <f>IF(ISNUMBER(Datos!AQ9),Datos!AQ9," - ")</f>
        <v>6</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73</v>
      </c>
      <c r="G10" s="906">
        <f>IF(ISNUMBER(Datos!I10),Datos!I10," - ")</f>
        <v>73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37</v>
      </c>
      <c r="AC10" s="905" t="str">
        <f>IF(ISNUMBER(IF(D_I="SI",DatosP!K18,DatosP!K18+DatosP!AE18)),IF(D_I="SI",DatosP!K18,DatosP!K18+DatosP!AE18)," - ")</f>
        <v xml:space="preserve"> - </v>
      </c>
      <c r="AD10" s="907"/>
      <c r="AE10" s="907"/>
      <c r="AF10" s="910">
        <f>IF(ISNUMBER(Datos!L10),Datos!L10,"-")</f>
        <v>90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9</v>
      </c>
      <c r="AM10" s="914">
        <f>IF(ISNUMBER(Datos!N10+DatosP!N18),Datos!N10+DatosP!N18," - ")</f>
        <v>7</v>
      </c>
      <c r="AN10" s="914">
        <f>IF(ISNUMBER(Datos!BW10+DatosP!BW18),Datos!BW10+DatosP!BW18," - ")</f>
        <v>0</v>
      </c>
      <c r="AO10" s="915">
        <f>IF(ISNUMBER(Datos!BX10+DatosP!BX18),Datos!BX10+DatosP!BX18," - ")</f>
        <v>0</v>
      </c>
      <c r="AP10" s="917">
        <f>IF(ISNUMBER(((Datos!L10/Datos!K10)*11)/factor_trimestre),((Datos!L10/Datos!K10)*11)/factor_trimestre," - ")</f>
        <v>7.2972972972972983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321</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9</v>
      </c>
      <c r="F14" s="1256">
        <f t="shared" si="0"/>
        <v>73</v>
      </c>
      <c r="G14" s="1256">
        <f t="shared" si="0"/>
        <v>73</v>
      </c>
      <c r="H14" s="1256">
        <f t="shared" si="0"/>
        <v>0</v>
      </c>
      <c r="I14" s="1258">
        <f t="shared" si="0"/>
        <v>0</v>
      </c>
      <c r="J14" s="1257">
        <f t="shared" si="0"/>
        <v>0</v>
      </c>
      <c r="K14" s="1257">
        <f t="shared" si="0"/>
        <v>0</v>
      </c>
      <c r="L14" s="1259">
        <f t="shared" si="0"/>
        <v>0</v>
      </c>
      <c r="M14" s="1259">
        <f t="shared" si="0"/>
        <v>0</v>
      </c>
      <c r="N14" s="1257">
        <f t="shared" si="0"/>
        <v>12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37</v>
      </c>
      <c r="AC14" s="1257">
        <f t="shared" si="1"/>
        <v>0</v>
      </c>
      <c r="AD14" s="1257">
        <f t="shared" si="1"/>
        <v>0</v>
      </c>
      <c r="AE14" s="1257">
        <f t="shared" si="1"/>
        <v>0</v>
      </c>
      <c r="AF14" s="1257">
        <f t="shared" si="1"/>
        <v>90</v>
      </c>
      <c r="AG14" s="1257">
        <f t="shared" si="1"/>
        <v>0</v>
      </c>
      <c r="AH14" s="1257">
        <f t="shared" si="1"/>
        <v>0</v>
      </c>
      <c r="AI14" s="1257">
        <f t="shared" si="1"/>
        <v>0</v>
      </c>
      <c r="AJ14" s="1257">
        <f t="shared" si="1"/>
        <v>0</v>
      </c>
      <c r="AK14" s="1257">
        <f t="shared" si="1"/>
        <v>0</v>
      </c>
      <c r="AL14" s="1257">
        <f t="shared" si="1"/>
        <v>9</v>
      </c>
      <c r="AM14" s="1257">
        <f t="shared" si="1"/>
        <v>7</v>
      </c>
      <c r="AN14" s="1257">
        <f t="shared" si="1"/>
        <v>0</v>
      </c>
      <c r="AO14" s="1257">
        <f t="shared" si="1"/>
        <v>0</v>
      </c>
      <c r="AP14" s="1262">
        <f>IF(ISNUMBER(((Datos!L14/Datos!K14)*11)/factor_trimestre),((Datos!L14/Datos!K14)*11)/factor_trimestre," - ")</f>
        <v>5.8030028943560064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-0.50684931506849318</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6</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1.730800323362975</v>
      </c>
      <c r="AQ23" s="1262">
        <f>IF(ISNUMBER(((Datos!M23/Datos!L23)*11)/factor_trimestre),((Datos!M23/Datos!L23)*11)/factor_trimestre," - ")</f>
        <v>0.46099953292853812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-1.8817204301075269E-2</v>
      </c>
      <c r="AW23" s="1265">
        <f>IF(ISNUMBER((Datos!Q23-Datos!R23)/(Datos!S23-Datos!Q23+Datos!R23)),(Datos!Q23-Datos!R23)/(Datos!S23-Datos!Q23+Datos!R23)," - ")</f>
        <v>-0.11280991735537189</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9</v>
      </c>
      <c r="F31" s="1278">
        <f t="shared" si="8"/>
        <v>73</v>
      </c>
      <c r="G31" s="1278">
        <f t="shared" si="8"/>
        <v>73</v>
      </c>
      <c r="H31" s="1278">
        <f t="shared" si="8"/>
        <v>0</v>
      </c>
      <c r="I31" s="1279">
        <f t="shared" si="8"/>
        <v>0</v>
      </c>
      <c r="J31" s="1280">
        <f t="shared" si="8"/>
        <v>0</v>
      </c>
      <c r="K31" s="1280">
        <f t="shared" si="8"/>
        <v>0</v>
      </c>
      <c r="L31" s="1280">
        <f t="shared" si="8"/>
        <v>0</v>
      </c>
      <c r="M31" s="1280">
        <f t="shared" si="8"/>
        <v>0</v>
      </c>
      <c r="N31" s="1279">
        <f t="shared" si="8"/>
        <v>12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37</v>
      </c>
      <c r="AC31" s="1284">
        <f t="shared" si="9"/>
        <v>0</v>
      </c>
      <c r="AD31" s="1284">
        <f t="shared" si="9"/>
        <v>0</v>
      </c>
      <c r="AE31" s="1284">
        <f t="shared" si="9"/>
        <v>0</v>
      </c>
      <c r="AF31" s="1285">
        <f t="shared" si="9"/>
        <v>90</v>
      </c>
      <c r="AG31" s="1285">
        <f t="shared" si="9"/>
        <v>0</v>
      </c>
      <c r="AH31" s="1285">
        <f t="shared" si="9"/>
        <v>0</v>
      </c>
      <c r="AI31" s="1285">
        <f t="shared" si="9"/>
        <v>0</v>
      </c>
      <c r="AJ31" s="1286">
        <f t="shared" si="9"/>
        <v>0</v>
      </c>
      <c r="AK31" s="1286">
        <f t="shared" si="9"/>
        <v>0</v>
      </c>
      <c r="AL31" s="1278">
        <f t="shared" si="9"/>
        <v>9</v>
      </c>
      <c r="AM31" s="1278">
        <f t="shared" si="9"/>
        <v>7</v>
      </c>
      <c r="AN31" s="1278">
        <f t="shared" si="9"/>
        <v>0</v>
      </c>
      <c r="AO31" s="1278">
        <f t="shared" si="9"/>
        <v>0</v>
      </c>
      <c r="AP31" s="1278">
        <f>IF(ISNUMBER(((Datos!L31/Datos!K31)*11)/factor_trimestre),((Datos!L31/Datos!K31)*11)/factor_trimestre," - ")</f>
        <v>4.1673341270700295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-0.50684931506849318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-1.0945644080416976E-2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29.2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3.2787192621510002</v>
      </c>
      <c r="F33" s="1006">
        <f>IF(ISNUMBER(STDEV(F8:F30)),STDEV(F8:F30),"-")</f>
        <v>39.98374669787713</v>
      </c>
      <c r="G33" s="1007">
        <f>IF(ISNUMBER(STDEV(G8:G30)),STDEV(G8:G30),"-")</f>
        <v>39.98374669787713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20.265734627691145</v>
      </c>
      <c r="AC33" s="1008">
        <f>IF(ISNUMBER(STDEV(AC8:AC30)),STDEV(AC8:AC30),"-")</f>
        <v>0</v>
      </c>
      <c r="AD33" s="1011"/>
      <c r="AE33" s="1011"/>
      <c r="AF33" s="1011"/>
      <c r="AG33" s="1011"/>
      <c r="AH33" s="1011"/>
      <c r="AI33" s="1011"/>
      <c r="AJ33" s="1012">
        <f>IF(ISNUMBER(STDEV(AJ8:AJ30)),STDEV(AJ8:AJ30),"-")</f>
        <v>0</v>
      </c>
      <c r="AK33" s="1014"/>
      <c r="AL33" s="1006">
        <f>IF(ISNUMBER(STDEV(AL8:AL30)),STDEV(AL8:AL30),"-")</f>
        <v>4.9295030175464953</v>
      </c>
      <c r="AM33" s="1006"/>
      <c r="AN33" s="1006">
        <f>IF(ISNUMBER(STDEV(AN8:AN30)),STDEV(AN8:AN30),"-")</f>
        <v>0</v>
      </c>
      <c r="AO33" s="1012">
        <f>IF(ISNUMBER(STDEV(AO8:AO30)),STDEV(AO8:AO30),"-")</f>
        <v>0</v>
      </c>
      <c r="AP33" s="1065">
        <f>IF(ISNUMBER(STDEV(AP8:AP30)),STDEV(AP8:AP30),"-")</f>
        <v>2.8810194405998018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SoSgOgTXJg8Wn2aC+WwJ4Vbs2Ss+qsiAahV6NRrohrEip0qR0+RkkakpbXWl6VLnKGbUWFQwgIVYKQ/UKNUb4Q==" saltValue="c6uqLn9e4mkYlmGt08ANs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MADRID</v>
      </c>
      <c r="C2" s="436"/>
      <c r="E2" s="436"/>
      <c r="F2" s="436"/>
      <c r="G2" s="436"/>
      <c r="H2" s="436"/>
    </row>
    <row r="3" spans="1:15" ht="39">
      <c r="A3" s="463" t="s">
        <v>280</v>
      </c>
      <c r="B3" s="439" t="str">
        <f>Criterios!A10 &amp;"  "&amp;Criterios!B10</f>
        <v>Provincias  MADRID</v>
      </c>
      <c r="C3" s="463"/>
      <c r="F3" s="436"/>
      <c r="G3" s="436"/>
      <c r="H3" s="436"/>
    </row>
    <row r="4" spans="1:15" ht="13.5" thickBot="1">
      <c r="A4" s="436"/>
      <c r="B4" s="439" t="str">
        <f>Criterios!A11 &amp;"  "&amp;Criterios!B11</f>
        <v>Resumenes por Partidos Judiciales  MOSTOLES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6</v>
      </c>
      <c r="D9" s="451">
        <f>Datos!BK9</f>
        <v>0</v>
      </c>
      <c r="E9" s="451">
        <f>Datos!AQ9</f>
        <v>6</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6</v>
      </c>
      <c r="D16" s="451">
        <f>Datos!BK16</f>
        <v>0</v>
      </c>
      <c r="E16" s="451">
        <f>Datos!AQ16</f>
        <v>6</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z8yI3Fs8ou0lXAccTuOn7WrSEdZ2ynRoK4EVGB9DLDkE8g0ko68NYcQ27cpWnvLv5pfrmgaLbH3LCX5p+tHU/w==" saltValue="iwBrZyJETJiGtwKhQPH86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MADRID</v>
      </c>
      <c r="C2" s="475"/>
      <c r="D2" s="418"/>
    </row>
    <row r="3" spans="1:9" ht="19.5">
      <c r="A3" s="476" t="s">
        <v>16</v>
      </c>
      <c r="B3" s="477" t="str">
        <f>Criterios!A10 &amp;"  "&amp;Criterios!B10</f>
        <v>Provincias  MADRID</v>
      </c>
      <c r="C3" s="475"/>
      <c r="D3" s="476"/>
    </row>
    <row r="4" spans="1:9" ht="13.5" thickBot="1">
      <c r="B4" s="477" t="str">
        <f>Criterios!A11 &amp;"  "&amp;Criterios!B11</f>
        <v>Resumenes por Partidos Judiciales  MOSTOLES</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6</v>
      </c>
      <c r="C9" s="458">
        <f>Datos!AQ9</f>
        <v>6</v>
      </c>
      <c r="D9" s="451">
        <f>IF(ISNUMBER(Datos!M9),Datos!M9," - ")</f>
        <v>1725</v>
      </c>
      <c r="E9" s="452">
        <f t="shared" ref="E9:E14" si="0">IF(ISNUMBER(D9/B9),D9/B9," - ")</f>
        <v>287.5</v>
      </c>
      <c r="F9" s="451">
        <f>IF(ISNUMBER(Datos!N9),Datos!N9," - ")</f>
        <v>2473</v>
      </c>
      <c r="G9" s="452">
        <f t="shared" ref="G9:G14" si="1">IF(ISNUMBER(F9/B9),F9/B9," - ")</f>
        <v>412.16666666666669</v>
      </c>
      <c r="H9" s="451">
        <f>IF(ISNUMBER(Datos!O9),Datos!O9," - ")</f>
        <v>1183</v>
      </c>
      <c r="I9" s="452">
        <f>IF(ISNUMBER(H9/B9),H9/B9," - ")</f>
        <v>197.16666666666666</v>
      </c>
    </row>
    <row r="10" spans="1:9">
      <c r="A10" s="450" t="str">
        <f>Datos!A10</f>
        <v>Jdos. Violencia contra la mujer</v>
      </c>
      <c r="B10" s="480">
        <f>Datos!AO10</f>
        <v>1</v>
      </c>
      <c r="C10" s="458">
        <f>Datos!AQ10</f>
        <v>1</v>
      </c>
      <c r="D10" s="451">
        <f>IF(ISNUMBER(Datos!M10),Datos!M10," - ")</f>
        <v>9</v>
      </c>
      <c r="E10" s="452">
        <f>IF(ISNUMBER(D10/B10),D10/B10," - ")</f>
        <v>9</v>
      </c>
      <c r="F10" s="451">
        <f>IF(ISNUMBER(Datos!N10),Datos!N10," - ")</f>
        <v>7</v>
      </c>
      <c r="G10" s="452">
        <f>IF(ISNUMBER(F10/B10),F10/B10," - ")</f>
        <v>7</v>
      </c>
      <c r="H10" s="451">
        <f>IF(ISNUMBER(Datos!O10),Datos!O10," - ")</f>
        <v>11</v>
      </c>
      <c r="I10" s="452">
        <f t="shared" ref="I10:I13" si="2">IF(ISNUMBER(H10/B10),H10/B10," - ")</f>
        <v>11</v>
      </c>
    </row>
    <row r="11" spans="1:9">
      <c r="A11" s="450" t="str">
        <f>Datos!A11</f>
        <v xml:space="preserve">Jdos. Familia                                   </v>
      </c>
      <c r="B11" s="480">
        <f>Datos!AO11</f>
        <v>2</v>
      </c>
      <c r="C11" s="458">
        <f>Datos!AQ11</f>
        <v>2</v>
      </c>
      <c r="D11" s="451">
        <f>IF(ISNUMBER(Datos!M11),Datos!M11," - ")</f>
        <v>204</v>
      </c>
      <c r="E11" s="452">
        <f t="shared" si="0"/>
        <v>102</v>
      </c>
      <c r="F11" s="451">
        <f>IF(ISNUMBER(Datos!N11),Datos!N11," - ")</f>
        <v>328</v>
      </c>
      <c r="G11" s="452">
        <f t="shared" si="1"/>
        <v>164</v>
      </c>
      <c r="H11" s="451">
        <f>IF(ISNUMBER(Datos!O11),Datos!O11," - ")</f>
        <v>121</v>
      </c>
      <c r="I11" s="452">
        <f t="shared" si="2"/>
        <v>60.5</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9</v>
      </c>
      <c r="C14" s="1148">
        <f>Datos!AR14</f>
        <v>9</v>
      </c>
      <c r="D14" s="1146">
        <f>SUBTOTAL(9,D9:D13)</f>
        <v>1938</v>
      </c>
      <c r="E14" s="1147">
        <f t="shared" si="0"/>
        <v>215.33333333333334</v>
      </c>
      <c r="F14" s="1146">
        <f>SUBTOTAL(9,F9:F13)</f>
        <v>2808</v>
      </c>
      <c r="G14" s="1147">
        <f t="shared" si="1"/>
        <v>312</v>
      </c>
      <c r="H14" s="1146">
        <f>SUBTOTAL(9,H9:H13)</f>
        <v>1315</v>
      </c>
      <c r="I14" s="1147">
        <f>IF(ISNUMBER(H14/B14),H14/B14," - ")</f>
        <v>146.11111111111111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6</v>
      </c>
      <c r="C16" s="481">
        <f>Datos!AQ16</f>
        <v>6</v>
      </c>
      <c r="D16" s="451">
        <f>IF(ISNUMBER(Datos!M16),Datos!M16," - ")</f>
        <v>321</v>
      </c>
      <c r="E16" s="452">
        <f t="shared" ref="E16:E23" si="3">IF(ISNUMBER(D16/B16),D16/B16," - ")</f>
        <v>53.5</v>
      </c>
      <c r="F16" s="451">
        <f>IF(ISNUMBER(Datos!N16),Datos!N16," - ")</f>
        <v>1872</v>
      </c>
      <c r="G16" s="452">
        <f t="shared" ref="G16:G23" si="4">IF(ISNUMBER(F16/B16),F16/B16," - ")</f>
        <v>312</v>
      </c>
      <c r="H16" s="451">
        <f>IF(ISNUMBER(Datos!O16),Datos!O16," - ")</f>
        <v>47</v>
      </c>
      <c r="I16" s="452">
        <f t="shared" ref="I16:I22" si="5">IF(ISNUMBER(H16/B16),H16/B16," - ")</f>
        <v>7.833333333333333</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8</v>
      </c>
      <c r="E18" s="452">
        <f>IF(ISNUMBER(D18/B18),D18/B18," - ")</f>
        <v>8</v>
      </c>
      <c r="F18" s="451">
        <f>IF(ISNUMBER(Datos!N18),Datos!N18," - ")</f>
        <v>248</v>
      </c>
      <c r="G18" s="452">
        <f>IF(ISNUMBER(F18/B18),F18/B18," - ")</f>
        <v>248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7</v>
      </c>
      <c r="D23" s="1146">
        <f>SUBTOTAL(9,D16:D22)</f>
        <v>329</v>
      </c>
      <c r="E23" s="1147">
        <f t="shared" si="3"/>
        <v>47</v>
      </c>
      <c r="F23" s="1146">
        <f>SUBTOTAL(9,F16:F22)</f>
        <v>2120</v>
      </c>
      <c r="G23" s="1147">
        <f t="shared" si="4"/>
        <v>302.85714285714283</v>
      </c>
      <c r="H23" s="1146">
        <f>SUBTOTAL(9,H16:H22)</f>
        <v>47</v>
      </c>
      <c r="I23" s="1147">
        <f>IF(ISNUMBER(H23/B23),H23/B23," - ")</f>
        <v>6.7142857142857144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15</v>
      </c>
      <c r="C31" s="1084">
        <f>Datos!AR31</f>
        <v>15</v>
      </c>
      <c r="D31" s="1084">
        <f>SUBTOTAL(9,D8:D30)</f>
        <v>2267</v>
      </c>
      <c r="E31" s="1085">
        <f>IF(ISNUMBER(D31/B31),D31/B31," - ")</f>
        <v>151.13333333333333</v>
      </c>
      <c r="F31" s="1084">
        <f>SUBTOTAL(9,F8:F30)</f>
        <v>4928</v>
      </c>
      <c r="G31" s="1085">
        <f>IF(ISNUMBER(F31/B31),F31/B31," - ")</f>
        <v>328.53333333333336</v>
      </c>
      <c r="H31" s="1084">
        <f>SUBTOTAL(9,H8:H30)</f>
        <v>1362</v>
      </c>
      <c r="I31" s="1085">
        <f>IF(ISNUMBER(H31/B31),H31/B31," - ")</f>
        <v>90.8</v>
      </c>
    </row>
    <row r="34" spans="1:1">
      <c r="A34" s="439" t="str">
        <f>Criterios!A4</f>
        <v>Fecha Informe: 06 may. 2023</v>
      </c>
    </row>
    <row r="39" spans="1:1">
      <c r="A39" s="462"/>
    </row>
  </sheetData>
  <sheetProtection algorithmName="SHA-512" hashValue="ph7w7ufe7m/aYXFpTHMhCiH6Xvu1XaFT+B2DSfH1yXn9VRig7h0PjrpqO55XdbPfTxqgY2wZ3iSX/OuzIDUWRQ==" saltValue="/v3o9In6OZ2RO2gvRrI1X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MADRID</v>
      </c>
    </row>
    <row r="3" spans="1:4" ht="19.5">
      <c r="A3" s="484" t="s">
        <v>48</v>
      </c>
      <c r="B3" s="439" t="str">
        <f>Criterios!A10 &amp;"  "&amp;Criterios!B10</f>
        <v>Provincias  MADRID</v>
      </c>
    </row>
    <row r="4" spans="1:4" ht="13.5" thickBot="1">
      <c r="B4" s="439" t="str">
        <f>Criterios!A11 &amp;"  "&amp;Criterios!B11</f>
        <v>Resumenes por Partidos Judiciales  MOSTOLES</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661</v>
      </c>
      <c r="C9" s="489">
        <f>IF(ISNUMBER(Datos!Q9),Datos!Q9," - ")</f>
        <v>809</v>
      </c>
      <c r="D9" s="456">
        <f>IF(ISNUMBER(Datos!R9),Datos!R9," - ")</f>
        <v>12049</v>
      </c>
    </row>
    <row r="10" spans="1:4">
      <c r="A10" s="450" t="str">
        <f>Datos!A10</f>
        <v>Jdos. Violencia contra la mujer</v>
      </c>
      <c r="B10" s="488">
        <f>IF(ISNUMBER(Datos!P10),Datos!P10," - ")</f>
        <v>12</v>
      </c>
      <c r="C10" s="489">
        <f>IF(ISNUMBER(Datos!Q10),Datos!Q10," - ")</f>
        <v>21</v>
      </c>
      <c r="D10" s="456">
        <f>IF(ISNUMBER(Datos!R10),Datos!R10," - ")</f>
        <v>86</v>
      </c>
    </row>
    <row r="11" spans="1:4">
      <c r="A11" s="450" t="str">
        <f>Datos!A11</f>
        <v xml:space="preserve">Jdos. Familia                                   </v>
      </c>
      <c r="B11" s="488">
        <f>IF(ISNUMBER(Datos!P11),Datos!P11," - ")</f>
        <v>56</v>
      </c>
      <c r="C11" s="489">
        <f>IF(ISNUMBER(Datos!Q11),Datos!Q11," - ")</f>
        <v>39</v>
      </c>
      <c r="D11" s="456">
        <f>IF(ISNUMBER(Datos!R11),Datos!R11," - ")</f>
        <v>783</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729</v>
      </c>
      <c r="C14" s="1150">
        <f>SUBTOTAL(9,C9:C13)</f>
        <v>869</v>
      </c>
      <c r="D14" s="1148">
        <f>SUBTOTAL(9,D9:D13)</f>
        <v>12918</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83</v>
      </c>
      <c r="C16" s="489">
        <f>IF(ISNUMBER(Datos!Q16),Datos!Q16," - ")</f>
        <v>90</v>
      </c>
      <c r="D16" s="456">
        <f>IF(ISNUMBER(Datos!R16),Datos!R16," - ")</f>
        <v>348</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2</v>
      </c>
      <c r="C18" s="489">
        <f>IF(ISNUMBER(Datos!Q18),Datos!Q18," - ")</f>
        <v>2</v>
      </c>
      <c r="D18" s="456">
        <f>IF(ISNUMBER(Datos!R18),Datos!R18," - ")</f>
        <v>17</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85</v>
      </c>
      <c r="C23" s="1150">
        <f>SUBTOTAL(9,C16:C22)</f>
        <v>92</v>
      </c>
      <c r="D23" s="1148">
        <f>SUBTOTAL(9,D16:D22)</f>
        <v>365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814</v>
      </c>
      <c r="C31" s="1089">
        <f>SUBTOTAL(9,C8:C30)</f>
        <v>961</v>
      </c>
      <c r="D31" s="1090">
        <f>SUBTOTAL(9,D8:D30)</f>
        <v>13283</v>
      </c>
    </row>
    <row r="32" spans="1:4" ht="7.5" customHeight="1"/>
    <row r="33" spans="1:1" ht="6" customHeight="1"/>
    <row r="34" spans="1:1">
      <c r="A34" s="439" t="str">
        <f>Criterios!A4</f>
        <v>Fecha Informe: 06 may. 2023</v>
      </c>
    </row>
    <row r="39" spans="1:1">
      <c r="A39" s="462"/>
    </row>
  </sheetData>
  <sheetProtection algorithmName="SHA-512" hashValue="NrrBfm54uLBxorrElb1wCgfCYsQ36Cknxf3Du0nM9SWT7IFjr1VMOlOSO4+yYuwPPquPPGtDsIrrfsf5t1A+qA==" saltValue="aPGfheK2WCOMVuh+66RWR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MADRID</v>
      </c>
    </row>
    <row r="3" spans="1:11" ht="18.75" customHeight="1">
      <c r="A3" s="484" t="s">
        <v>162</v>
      </c>
      <c r="B3" s="439" t="str">
        <f>Criterios!A10 &amp;"  "&amp;Criterios!B10</f>
        <v>Provincias  MADRID</v>
      </c>
    </row>
    <row r="4" spans="1:11" ht="10.5" customHeight="1" thickBot="1">
      <c r="B4" s="439" t="str">
        <f>Criterios!A11 &amp;"  "&amp;Criterios!B11</f>
        <v>Resumenes por Partidos Judiciales  MOSTOLES</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-1.7692591227423518E-2</v>
      </c>
      <c r="C9" s="515">
        <f>IF(ISNUMBER(
   IF(J_V="SI",(Datos!J9-Datos!T9)/Datos!T9,(Datos!J9+Datos!Z9-(Datos!T9+Datos!AH9))/(Datos!T9+Datos!AH9))
     ),IF(J_V="SI",(Datos!J9-Datos!T9)/Datos!T9,(Datos!J9+Datos!Z9-(Datos!T9+Datos!AH9))/(Datos!T9+Datos!AH9))," - ")</f>
        <v>8.0761812921890067E-2</v>
      </c>
      <c r="D9" s="515">
        <f>IF(ISNUMBER(
   IF(J_V="SI",(Datos!K9-Datos!U9)/Datos!U9,(Datos!K9+Datos!AA9-(Datos!U9+Datos!AI9))/(Datos!U9+Datos!AI9))
     ),IF(J_V="SI",(Datos!K9-Datos!U9)/Datos!U9,(Datos!K9+Datos!AA9-(Datos!U9+Datos!AI9))/(Datos!U9+Datos!AI9))," - ")</f>
        <v>0.37109887227904537</v>
      </c>
      <c r="E9" s="515">
        <f>IF(ISNUMBER(
   IF(J_V="SI",(Datos!L9-Datos!V9)/Datos!V9,(Datos!L9+Datos!AB9-(Datos!V9+Datos!AJ9))/(Datos!V9+Datos!AJ9))
     ),IF(J_V="SI",(Datos!L9-Datos!V9)/Datos!V9,(Datos!L9+Datos!AB9-(Datos!V9+Datos!AJ9))/(Datos!V9+Datos!AJ9))," - ")</f>
        <v>-0.11243398084325486</v>
      </c>
      <c r="F9" s="515">
        <f>IF(ISNUMBER((Datos!M9-Datos!W9)/Datos!W9),(Datos!M9-Datos!W9)/Datos!W9," - ")</f>
        <v>0.57390510948905105</v>
      </c>
      <c r="G9" s="516">
        <f>IF(ISNUMBER((Datos!N9-Datos!X9)/Datos!X9),(Datos!N9-Datos!X9)/Datos!X9," - ")</f>
        <v>0.26755509994874421</v>
      </c>
      <c r="H9" s="514">
        <f>IF(ISNUMBER(((NºAsuntos!G9/NºAsuntos!E9)-Datos!BD9)/Datos!BD9),((NºAsuntos!G9/NºAsuntos!E9)-Datos!BD9)/Datos!BD9," - ")</f>
        <v>0.26864111581830924</v>
      </c>
      <c r="I9" s="515">
        <f>IF(ISNUMBER(((NºAsuntos!I9/NºAsuntos!G9)-Datos!BE9)/Datos!BE9),((NºAsuntos!I9/NºAsuntos!G9)-Datos!BE9)/Datos!BE9," - ")</f>
        <v>-0.35266082038166235</v>
      </c>
      <c r="J9" s="521">
        <f>IF(ISNUMBER((('Resol  Asuntos'!D9/NºAsuntos!G9)-Datos!BF9)/Datos!BF9),(('Resol  Asuntos'!D9/NºAsuntos!G9)-Datos!BF9)/Datos!BF9," - ")</f>
        <v>-0.35514353771455759</v>
      </c>
      <c r="K9" s="522">
        <f>IF(ISNUMBER((((NºAsuntos!C9+NºAsuntos!E9)/NºAsuntos!G9)-Datos!BG9)/Datos!BG9),(((NºAsuntos!C9+NºAsuntos!E9)/NºAsuntos!G9)-Datos!BG9)/Datos!BG9," - ")</f>
        <v>-0.26370493496557007</v>
      </c>
    </row>
    <row r="10" spans="1:11">
      <c r="A10" s="450" t="str">
        <f>Datos!A10</f>
        <v>Jdos. Violencia contra la mujer</v>
      </c>
      <c r="B10" s="514">
        <f>IF(ISNUMBER((Datos!I10-Datos!S10)/Datos!S10),(Datos!I10-Datos!S10)/Datos!S10," - ")</f>
        <v>-0.26262626262626265</v>
      </c>
      <c r="C10" s="515">
        <f>IF(ISNUMBER((Datos!J10-Datos!T10)/Datos!T10),(Datos!J10-Datos!T10)/Datos!T10," - ")</f>
        <v>0.2</v>
      </c>
      <c r="D10" s="515">
        <f>IF(ISNUMBER((Datos!K10-Datos!U10)/Datos!U10),(Datos!K10-Datos!U10)/Datos!U10," - ")</f>
        <v>-0.3392857142857143</v>
      </c>
      <c r="E10" s="515">
        <f>IF(ISNUMBER((Datos!L10-Datos!V10)/Datos!V10),(Datos!L10-Datos!V10)/Datos!V10," - ")</f>
        <v>2.2727272727272728E-2</v>
      </c>
      <c r="F10" s="515">
        <f>IF(ISNUMBER((Datos!M10-Datos!W10)/Datos!W10),(Datos!M10-Datos!W10)/Datos!W10," - ")</f>
        <v>-0.4</v>
      </c>
      <c r="G10" s="516">
        <f>IF(ISNUMBER((Datos!N10-Datos!X10)/Datos!X10),(Datos!N10-Datos!X10)/Datos!X10," - ")</f>
        <v>-0.22222222222222221</v>
      </c>
      <c r="H10" s="514">
        <f>IF(ISNUMBER(((NºAsuntos!G10/NºAsuntos!E10)-Datos!BD10)/Datos!BD10),((NºAsuntos!G10/NºAsuntos!E10)-Datos!BD10)/Datos!BD10," - ")</f>
        <v>-0.44940476190476186</v>
      </c>
      <c r="I10" s="515">
        <f>IF(ISNUMBER(((NºAsuntos!I10/NºAsuntos!G10)-Datos!BE10)/Datos!BE10),((NºAsuntos!I10/NºAsuntos!G10)-Datos!BE10)/Datos!BE10," - ")</f>
        <v>0.54791154791154795</v>
      </c>
      <c r="J10" s="521">
        <f>IF(ISNUMBER((('Resol  Asuntos'!D10/NºAsuntos!G10)-Datos!BF10)/Datos!BF10),(('Resol  Asuntos'!D10/NºAsuntos!G10)-Datos!BF10)/Datos!BF10," - ")</f>
        <v>-9.1891891891891814E-2</v>
      </c>
      <c r="K10" s="522">
        <f>IF(ISNUMBER((((NºAsuntos!C10+NºAsuntos!E10)/NºAsuntos!G10)-Datos!BG10)/Datos!BG10),(((NºAsuntos!C10+NºAsuntos!E10)/NºAsuntos!G10)-Datos!BG10)/Datos!BG10," - ")</f>
        <v>0.33483483483483473</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-3.9783001808318265E-2</v>
      </c>
      <c r="C11" s="515">
        <f>IF(ISNUMBER(
   IF(J_V="SI",(Datos!J11-Datos!T11)/Datos!T11,(Datos!J11+Datos!Z11-(Datos!T11+Datos!AH11))/(Datos!T11+Datos!AH11))
     ),IF(J_V="SI",(Datos!J11-Datos!T11)/Datos!T11,(Datos!J11+Datos!Z11-(Datos!T11+Datos!AH11))/(Datos!T11+Datos!AH11))," - ")</f>
        <v>-0.29011689691817216</v>
      </c>
      <c r="D11" s="515">
        <f>IF(ISNUMBER(
   IF(J_V="SI",(Datos!K11-Datos!U11)/Datos!U11,(Datos!K11+Datos!AA11-(Datos!U11+Datos!AI11))/(Datos!U11+Datos!AI11))
     ),IF(J_V="SI",(Datos!K11-Datos!U11)/Datos!U11,(Datos!K11+Datos!AA11-(Datos!U11+Datos!AI11))/(Datos!U11+Datos!AI11))," - ")</f>
        <v>-0.11548556430446194</v>
      </c>
      <c r="E11" s="515">
        <f>IF(ISNUMBER(
   IF(J_V="SI",(Datos!L11-Datos!V11)/Datos!V11,(Datos!L11+Datos!AB11-(Datos!V11+Datos!AJ11))/(Datos!V11+Datos!AJ11))
     ),IF(J_V="SI",(Datos!L11-Datos!V11)/Datos!V11,(Datos!L11+Datos!AB11-(Datos!V11+Datos!AJ11))/(Datos!V11+Datos!AJ11))," - ")</f>
        <v>-0.17821011673151751</v>
      </c>
      <c r="F11" s="515">
        <f>IF(ISNUMBER((Datos!M11-Datos!W11)/Datos!W11),(Datos!M11-Datos!W11)/Datos!W11," - ")</f>
        <v>9.6774193548387094E-2</v>
      </c>
      <c r="G11" s="516">
        <f>IF(ISNUMBER((Datos!N11-Datos!X11)/Datos!X11),(Datos!N11-Datos!X11)/Datos!X11," - ")</f>
        <v>-0.10626702997275204</v>
      </c>
      <c r="H11" s="514">
        <f>IF(ISNUMBER(((NºAsuntos!G11/NºAsuntos!E11)-Datos!BD11)/Datos!BD11),((NºAsuntos!G11/NºAsuntos!E11)-Datos!BD11)/Datos!BD11," - ")</f>
        <v>0.24600012573278637</v>
      </c>
      <c r="I11" s="515">
        <f>IF(ISNUMBER(((NºAsuntos!I11/NºAsuntos!G11)-Datos!BE11)/Datos!BE11),((NºAsuntos!I11/NºAsuntos!G11)-Datos!BE11)/Datos!BE11," - ")</f>
        <v>-7.091410823355547E-2</v>
      </c>
      <c r="J11" s="521">
        <f>IF(ISNUMBER((('Resol  Asuntos'!D11/NºAsuntos!G11)-Datos!BF11)/Datos!BF11),(('Resol  Asuntos'!D11/NºAsuntos!G11)-Datos!BF11)/Datos!BF11," - ")</f>
        <v>-0.37156671706595296</v>
      </c>
      <c r="K11" s="522">
        <f>IF(ISNUMBER((((NºAsuntos!C11+NºAsuntos!E11)/NºAsuntos!G11)-Datos!BG11)/Datos!BG11),(((NºAsuntos!C11+NºAsuntos!E11)/NºAsuntos!G11)-Datos!BG11)/Datos!BG11," - ")</f>
        <v>-4.45161842110985E-2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-2.1730115285726135E-2</v>
      </c>
      <c r="C14" s="1152">
        <f>IF(ISNUMBER(
   IF(J_V="SI",(Datos!J14-Datos!T14)/Datos!T14,(Datos!J14+Datos!Z14-(Datos!T14+Datos!AH14))/(Datos!T14+Datos!AH14))
     ),IF(J_V="SI",(Datos!J14-Datos!T14)/Datos!T14,(Datos!J14+Datos!Z14-(Datos!T14+Datos!AH14))/(Datos!T14+Datos!AH14))," - ")</f>
        <v>1.3829372808726139E-2</v>
      </c>
      <c r="D14" s="1152">
        <f>IF(ISNUMBER(
   IF(J_V="SI",(Datos!K14-Datos!U14)/Datos!U14,(Datos!K14+Datos!AA14-(Datos!U14+Datos!AI14))/(Datos!U14+Datos!AI14))
     ),IF(J_V="SI",(Datos!K14-Datos!U14)/Datos!U14,(Datos!K14+Datos!AA14-(Datos!U14+Datos!AI14))/(Datos!U14+Datos!AI14))," - ")</f>
        <v>0.28244439645864822</v>
      </c>
      <c r="E14" s="1152">
        <f>IF(ISNUMBER(
   IF(J_V="SI",(Datos!L14-Datos!V14)/Datos!V14,(Datos!L14+Datos!AB14-(Datos!V14+Datos!AJ14))/(Datos!V14+Datos!AJ14))
     ),IF(J_V="SI",(Datos!L14-Datos!V14)/Datos!V14,(Datos!L14+Datos!AB14-(Datos!V14+Datos!AJ14))/(Datos!V14+Datos!AJ14))," - ")</f>
        <v>-0.11822385204081633</v>
      </c>
      <c r="F14" s="1153">
        <f>IF(ISNUMBER((Datos!M14-Datos!W14)/Datos!W14),(Datos!M14-Datos!W14)/Datos!W14," - ")</f>
        <v>0.49421742482652276</v>
      </c>
      <c r="G14" s="1154">
        <f>IF(ISNUMBER((Datos!N14-Datos!X14)/Datos!X14),(Datos!N14-Datos!X14)/Datos!X14," - ")</f>
        <v>0.20670391061452514</v>
      </c>
      <c r="H14" s="1154">
        <f>IF(ISNUMBER(((NºAsuntos!G14/NºAsuntos!E14)-Datos!BD14)/Datos!BD14),((NºAsuntos!G14/NºAsuntos!E14)-Datos!BD14)/Datos!BD14," - ")</f>
        <v>0.26495091862030734</v>
      </c>
      <c r="I14" s="1154">
        <f>IF(ISNUMBER(((NºAsuntos!I14/NºAsuntos!G14)-Datos!BE14)/Datos!BE14),((NºAsuntos!I14/NºAsuntos!G14)-Datos!BE14)/Datos!BE14," - ")</f>
        <v>-0.31242543505657866</v>
      </c>
      <c r="J14" s="1154">
        <f>IF(ISNUMBER((('Resol  Asuntos'!D14/NºAsuntos!G14)-Datos!BF14)/Datos!BF14),(('Resol  Asuntos'!D14/NºAsuntos!G14)-Datos!BF14)/Datos!BF14," - ")</f>
        <v>-0.35226033902180387</v>
      </c>
      <c r="K14" s="1154">
        <f>IF(ISNUMBER((((NºAsuntos!C14+NºAsuntos!E14)/NºAsuntos!G14)-Datos!BG14)/Datos!BG14),(((NºAsuntos!C14+NºAsuntos!E14)/NºAsuntos!G14)-Datos!BG14)/Datos!BG14," - ")</f>
        <v>-0.2289026035338097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-4.9395691014188121E-2</v>
      </c>
      <c r="C16" s="515">
        <f>IF(ISNUMBER(
   IF(D_I="SI",(Datos!J16-Datos!T16)/Datos!T16,(Datos!J16+Datos!AD16-(Datos!T16+Datos!AL16))/(Datos!T16+Datos!AL16))
     ),IF(D_I="SI",(Datos!J16-Datos!T16)/Datos!T16,(Datos!J16+Datos!AD16-(Datos!T16+Datos!AL16))/(Datos!T16+Datos!AL16))," - ")</f>
        <v>-7.7206925915413005E-2</v>
      </c>
      <c r="D16" s="515">
        <f>IF(ISNUMBER(
   IF(D_I="SI",(Datos!K16-Datos!U16)/Datos!U16,(Datos!K16+Datos!AE16-(Datos!U16+Datos!AM16))/(Datos!U16+Datos!AM16))
     ),IF(D_I="SI",(Datos!K16-Datos!U16)/Datos!U16,(Datos!K16+Datos!AE16-(Datos!U16+Datos!AM16))/(Datos!U16+Datos!AM16))," - ")</f>
        <v>-0.1069403186605455</v>
      </c>
      <c r="E16" s="515">
        <f>IF(ISNUMBER(
   IF(D_I="SI",(Datos!L16-Datos!V16)/Datos!V16,(Datos!L16+Datos!AF16-(Datos!V16+Datos!AN16))/(Datos!V16+Datos!AN16))
     ),IF(D_I="SI",(Datos!L16-Datos!V16)/Datos!V16,(Datos!L16+Datos!AF16-(Datos!V16+Datos!AN16))/(Datos!V16+Datos!AN16))," - ")</f>
        <v>5.7714958775029447E-2</v>
      </c>
      <c r="F16" s="515">
        <f>IF(ISNUMBER((Datos!M16-Datos!W16)/Datos!W16),(Datos!M16-Datos!W16)/Datos!W16," - ")</f>
        <v>-0.2113022113022113</v>
      </c>
      <c r="G16" s="516">
        <f>IF(ISNUMBER((Datos!N16-Datos!X16)/Datos!X16),(Datos!N16-Datos!X16)/Datos!X16," - ")</f>
        <v>-0.14947751022262609</v>
      </c>
      <c r="H16" s="514">
        <f>IF(ISNUMBER(((NºAsuntos!G16/NºAsuntos!E16)-Datos!BD16)/Datos!BD16),((NºAsuntos!G16/NºAsuntos!E16)-Datos!BD16)/Datos!BD16," - ")</f>
        <v>-3.2221083556168047E-2</v>
      </c>
      <c r="I16" s="515">
        <f>IF(ISNUMBER(((NºAsuntos!I16/NºAsuntos!G16)-Datos!BE16)/Datos!BE16),((NºAsuntos!I16/NºAsuntos!G16)-Datos!BE16)/Datos!BE16," - ")</f>
        <v>0.18437208719199688</v>
      </c>
      <c r="J16" s="521">
        <f>IF(ISNUMBER((('Resol  Asuntos'!D16/NºAsuntos!G16)-Datos!BF16)/Datos!BF16),(('Resol  Asuntos'!D16/NºAsuntos!G16)-Datos!BF16)/Datos!BF16," - ")</f>
        <v>-0.11685881114366148</v>
      </c>
      <c r="K16" s="522">
        <f>IF(ISNUMBER((((NºAsuntos!C16+NºAsuntos!E16)/NºAsuntos!G16)-Datos!BG16)/Datos!BG16),(((NºAsuntos!C16+NºAsuntos!E16)/NºAsuntos!G16)-Datos!BG16)/Datos!BG16," - ")</f>
        <v>4.4215762318111029E-2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0.27459016393442626</v>
      </c>
      <c r="C18" s="515">
        <f>IF(ISNUMBER(
   IF(D_I="SI",(Datos!J18-Datos!T18)/Datos!T18,(Datos!J18+Datos!AD18-(Datos!T18+Datos!AL18))/(Datos!T18+Datos!AL18))
     ),IF(D_I="SI",(Datos!J18-Datos!T18)/Datos!T18,(Datos!J18+Datos!AD18-(Datos!T18+Datos!AL18))/(Datos!T18+Datos!AL18))," - ")</f>
        <v>0.16489361702127658</v>
      </c>
      <c r="D18" s="515">
        <f>IF(ISNUMBER(
   IF(D_I="SI",(Datos!K18-Datos!U18)/Datos!U18,(Datos!K18+Datos!AE18-(Datos!U18+Datos!AM18))/(Datos!U18+Datos!AM18))
     ),IF(D_I="SI",(Datos!K18-Datos!U18)/Datos!U18,(Datos!K18+Datos!AE18-(Datos!U18+Datos!AM18))/(Datos!U18+Datos!AM18))," - ")</f>
        <v>3.5897435897435895E-2</v>
      </c>
      <c r="E18" s="515">
        <f>IF(ISNUMBER(
   IF(D_I="SI",(Datos!L18-Datos!V18)/Datos!V18,(Datos!L18+Datos!AF18-(Datos!V18+Datos!AN18))/(Datos!V18+Datos!AN18))
     ),IF(D_I="SI",(Datos!L18-Datos!V18)/Datos!V18,(Datos!L18+Datos!AF18-(Datos!V18+Datos!AN18))/(Datos!V18+Datos!AN18))," - ")</f>
        <v>0.47435897435897434</v>
      </c>
      <c r="F18" s="515">
        <f>IF(ISNUMBER((Datos!M18-Datos!W18)/Datos!W18),(Datos!M18-Datos!W18)/Datos!W18," - ")</f>
        <v>-0.63636363636363635</v>
      </c>
      <c r="G18" s="516">
        <f>IF(ISNUMBER((Datos!N18-Datos!X18)/Datos!X18),(Datos!N18-Datos!X18)/Datos!X18," - ")</f>
        <v>0.40909090909090912</v>
      </c>
      <c r="H18" s="514">
        <f>IF(ISNUMBER(((NºAsuntos!G18/NºAsuntos!E18)-Datos!BD18)/Datos!BD18),((NºAsuntos!G18/NºAsuntos!E18)-Datos!BD18)/Datos!BD18," - ")</f>
        <v>-0.11073644772274907</v>
      </c>
      <c r="I18" s="515">
        <f>IF(ISNUMBER(((NºAsuntos!I18/NºAsuntos!G18)-Datos!BE18)/Datos!BE18),((NºAsuntos!I18/NºAsuntos!G18)-Datos!BE18)/Datos!BE18," - ")</f>
        <v>0.42326732673267331</v>
      </c>
      <c r="J18" s="521">
        <f>IF(ISNUMBER((('Resol  Asuntos'!D18/NºAsuntos!G18)-Datos!BF18)/Datos!BF18),(('Resol  Asuntos'!D18/NºAsuntos!G18)-Datos!BF18)/Datos!BF18," - ")</f>
        <v>-0.64896489648964906</v>
      </c>
      <c r="K18" s="522">
        <f>IF(ISNUMBER((((NºAsuntos!C18+NºAsuntos!E18)/NºAsuntos!G18)-Datos!BG18)/Datos!BG18),(((NºAsuntos!C18+NºAsuntos!E18)/NºAsuntos!G18)-Datos!BG18)/Datos!BG18," - ")</f>
        <v>0.16620089428297682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-1.2575687005123428E-2</v>
      </c>
      <c r="C23" s="1152">
        <f>IF(ISNUMBER(
   IF(Criterios!B14="SI",(Datos!J23-Datos!T23)/Datos!T23,(Datos!J23+Datos!AD23-(Datos!T23+Datos!AL23))/(Datos!T23+Datos!AL23))
     ),IF(Criterios!B14="SI",(Datos!J23-Datos!T23)/Datos!T23,(Datos!J23+Datos!AD23-(Datos!T23+Datos!AL23))/(Datos!T23+Datos!AL23))," - ")</f>
        <v>-5.385996409335727E-2</v>
      </c>
      <c r="D23" s="1152">
        <f>IF(ISNUMBER(
   IF(Criterios!B14="SI",(Datos!K23-Datos!U23)/Datos!U23,(Datos!K23+Datos!AE23-(Datos!U23+Datos!AM23))/(Datos!U23+Datos!AM23))
     ),IF(Criterios!B14="SI",(Datos!K23-Datos!U23)/Datos!U23,(Datos!K23+Datos!AE23-(Datos!U23+Datos!AM23))/(Datos!U23+Datos!AM23))," - ")</f>
        <v>-9.3330075739066695E-2</v>
      </c>
      <c r="E23" s="1152">
        <f>IF(ISNUMBER(
   IF(Criterios!B14="SI",(Datos!L23-Datos!V23)/Datos!V23,(Datos!L23+Datos!AF23-(Datos!V23+Datos!AN23))/(Datos!V23+Datos!AN23))
     ),IF(Criterios!B14="SI",(Datos!L23-Datos!V23)/Datos!V23,(Datos!L23+Datos!AF23-(Datos!V23+Datos!AN23))/(Datos!V23+Datos!AN23))," - ")</f>
        <v>0.10817805383022774</v>
      </c>
      <c r="F23" s="1153">
        <f>IF(ISNUMBER((Datos!M23-Datos!W23)/Datos!W23),(Datos!M23-Datos!W23)/Datos!W23," - ")</f>
        <v>-0.23310023310023309</v>
      </c>
      <c r="G23" s="1154">
        <f>IF(ISNUMBER((Datos!N23-Datos!X23)/Datos!X23),(Datos!N23-Datos!X23)/Datos!X23," - ")</f>
        <v>-0.1081194783340345</v>
      </c>
      <c r="H23" s="1154">
        <f>IF(ISNUMBER(((NºAsuntos!G23/NºAsuntos!E23)-Datos!BD23)/Datos!BD23),((NºAsuntos!G23/NºAsuntos!E23)-Datos!BD23)/Datos!BD23," - ")</f>
        <v>-4.1716987071461369E-2</v>
      </c>
      <c r="I23" s="1154">
        <f>IF(ISNUMBER(((NºAsuntos!I23/NºAsuntos!G23)-Datos!BE23)/Datos!BE23),((NºAsuntos!I23/NºAsuntos!G23)-Datos!BE23)/Datos!BE23," - ")</f>
        <v>0.22225081496284618</v>
      </c>
      <c r="J23" s="1154">
        <f>IF(ISNUMBER((('Resol  Asuntos'!D23/NºAsuntos!G23)-Datos!BF23)/Datos!BF23),(('Resol  Asuntos'!D23/NºAsuntos!G23)-Datos!BF23)/Datos!BF23," - ")</f>
        <v>-0.15415770791680244</v>
      </c>
      <c r="K23" s="1154">
        <f>IF(ISNUMBER((((NºAsuntos!C23+NºAsuntos!E23)/NºAsuntos!G23)-Datos!BG23)/Datos!BG23),(((NºAsuntos!C23+NºAsuntos!E23)/NºAsuntos!G23)-Datos!BG23)/Datos!BG23," - ")</f>
        <v>5.9702658670127473E-2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-2.0346381301041959E-2</v>
      </c>
      <c r="C31" s="1092">
        <f>IF(ISNUMBER(
   IF(J_V="SI",(Datos!J31-Datos!T31)/Datos!T31,(Datos!J31+Datos!Z31-(Datos!T31+Datos!AH31))/(Datos!T31+Datos!AH31))
     ),IF(J_V="SI",(Datos!J31-Datos!T31)/Datos!T31,(Datos!J31+Datos!Z31-(Datos!T31+Datos!AH31))/(Datos!T31+Datos!AH31))," - ")</f>
        <v>-1.5388021698217647E-2</v>
      </c>
      <c r="D31" s="1092">
        <f>IF(ISNUMBER(
   IF(J_V="SI",(Datos!K31-Datos!U31)/Datos!U31,(Datos!K31+Datos!AA31-(Datos!U31+Datos!AI31))/(Datos!U31+Datos!AI31))
     ),IF(J_V="SI",(Datos!K31-Datos!U31)/Datos!U31,(Datos!K31+Datos!AA31-(Datos!U31+Datos!AI31))/(Datos!U31+Datos!AI31))," - ")</f>
        <v>0.10614397065566254</v>
      </c>
      <c r="E31" s="1092">
        <f>IF(ISNUMBER(
   IF(J_V="SI",(Datos!L31-Datos!V31)/Datos!V31,(Datos!L31+Datos!AB31-(Datos!V31+Datos!AJ31))/(Datos!V31+Datos!AJ31))
     ),IF(J_V="SI",(Datos!L31-Datos!V31)/Datos!V31,(Datos!L31+Datos!AB31-(Datos!V31+Datos!AJ31))/(Datos!V31+Datos!AJ31))," - ")</f>
        <v>-8.800773694390715E-2</v>
      </c>
      <c r="F31" s="1093">
        <f>IF(ISNUMBER((Datos!M31-Datos!W31)/Datos!W31),(Datos!M31-Datos!W31)/Datos!W31," - ")</f>
        <v>0.31344148319814602</v>
      </c>
      <c r="G31" s="1094">
        <f>IF(ISNUMBER((Datos!N31-Datos!X31)/Datos!X31),(Datos!N31-Datos!X31)/Datos!X31," - ")</f>
        <v>4.7619047619047616E-2</v>
      </c>
      <c r="H31" s="1095">
        <f>IF(ISNUMBER((Tasas!B31-Datos!BD31)/Datos!BD31),(Tasas!B31-Datos!BD31)/Datos!BD31," - ")</f>
        <v>0.12343135674978635</v>
      </c>
      <c r="I31" s="1096">
        <f>IF(ISNUMBER((Tasas!C31-Datos!BE31)/Datos!BE31),(Tasas!C31-Datos!BE31)/Datos!BE31," - ")</f>
        <v>-0.17552119140918615</v>
      </c>
      <c r="J31" s="1097">
        <f>IF(ISNUMBER((Tasas!D31-Datos!BF31)/Datos!BF31),(Tasas!D31-Datos!BF31)/Datos!BF31," - ")</f>
        <v>-0.25797901197975492</v>
      </c>
      <c r="K31" s="1097">
        <f>IF(ISNUMBER((Tasas!E31-Datos!BG31)/Datos!BG31),(Tasas!E31-Datos!BG31)/Datos!BG31," - ")</f>
        <v>-0.11260999910585695</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R8XyaiBoFyl9kjdKh3WXd0c+uCzYlk5trdpF2F/KEaYoRV1N05I7WEw8mwgiOPaW3ftNuAK8jeox5J4kTR2i4A==" saltValue="AJME1xEyGeBSW3CtVeaKM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MADRID</v>
      </c>
    </row>
    <row r="3" spans="1:7" ht="19.5">
      <c r="A3" s="491" t="s">
        <v>17</v>
      </c>
      <c r="B3" s="439" t="str">
        <f>Criterios!A10 &amp;"  "&amp;Criterios!B10</f>
        <v>Provincias  MADRID</v>
      </c>
    </row>
    <row r="4" spans="1:7" ht="11.25" customHeight="1" thickBot="1">
      <c r="B4" s="439" t="str">
        <f>Criterios!A11 &amp;"  "&amp;Criterios!B11</f>
        <v>Resumenes por Partidos Judiciales  MOSTOLES</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1.166183359357573</v>
      </c>
      <c r="C9" s="498">
        <f>IF(ISNUMBER(NºAsuntos!I9/NºAsuntos!G9),NºAsuntos!I9/NºAsuntos!G9," - ")</f>
        <v>1.8965187452180565</v>
      </c>
      <c r="D9" s="499">
        <f>IF(ISNUMBER('Resol  Asuntos'!D9/NºAsuntos!G9),'Resol  Asuntos'!D9/NºAsuntos!G9," - ")</f>
        <v>0.32995409334353482</v>
      </c>
      <c r="E9" s="500">
        <f>IF(ISNUMBER((NºAsuntos!C9+NºAsuntos!E9)/NºAsuntos!G9),(NºAsuntos!C9+NºAsuntos!E9)/NºAsuntos!G9," - ")</f>
        <v>2.8965187452180565</v>
      </c>
      <c r="G9" s="523"/>
    </row>
    <row r="10" spans="1:7">
      <c r="A10" s="450" t="str">
        <f>Datos!A10</f>
        <v>Jdos. Violencia contra la mujer</v>
      </c>
      <c r="B10" s="497">
        <f>IF(ISNUMBER(NºAsuntos!G10/NºAsuntos!E10),NºAsuntos!G10/NºAsuntos!E10," - ")</f>
        <v>0.68518518518518523</v>
      </c>
      <c r="C10" s="498">
        <f>IF(ISNUMBER(NºAsuntos!I10/NºAsuntos!G10),NºAsuntos!I10/NºAsuntos!G10," - ")</f>
        <v>2.4324324324324325</v>
      </c>
      <c r="D10" s="499">
        <f>IF(ISNUMBER('Resol  Asuntos'!D10/NºAsuntos!G10),'Resol  Asuntos'!D10/NºAsuntos!G10," - ")</f>
        <v>0.24324324324324326</v>
      </c>
      <c r="E10" s="500">
        <f>IF(ISNUMBER((NºAsuntos!C10+NºAsuntos!E10)/NºAsuntos!G10),(NºAsuntos!C10+NºAsuntos!E10)/NºAsuntos!G10," - ")</f>
        <v>3.4324324324324325</v>
      </c>
      <c r="G10" s="523"/>
    </row>
    <row r="11" spans="1:7">
      <c r="A11" s="450" t="str">
        <f>Datos!A11</f>
        <v xml:space="preserve">Jdos. Familia                                   </v>
      </c>
      <c r="B11" s="497">
        <f>IF(ISNUMBER(NºAsuntos!G11/NºAsuntos!E11),NºAsuntos!G11/NºAsuntos!E11," - ")</f>
        <v>1.0089820359281436</v>
      </c>
      <c r="C11" s="498">
        <f>IF(ISNUMBER(NºAsuntos!I11/NºAsuntos!G11),NºAsuntos!I11/NºAsuntos!G11," - ")</f>
        <v>1.5667655786350148</v>
      </c>
      <c r="D11" s="499">
        <f>IF(ISNUMBER('Resol  Asuntos'!D11/NºAsuntos!G11),'Resol  Asuntos'!D11/NºAsuntos!G11," - ")</f>
        <v>0.30267062314540061</v>
      </c>
      <c r="E11" s="500">
        <f>IF(ISNUMBER((NºAsuntos!C11+NºAsuntos!E11)/NºAsuntos!G11),(NºAsuntos!C11+NºAsuntos!E11)/NºAsuntos!G11," - ")</f>
        <v>2.5667655786350148</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1.1410182516810758</v>
      </c>
      <c r="C14" s="1156">
        <f>IF(ISNUMBER(NºAsuntos!I14/NºAsuntos!G14),NºAsuntos!I14/NºAsuntos!G14," - ")</f>
        <v>1.8624347533254757</v>
      </c>
      <c r="D14" s="1157">
        <f>IF(ISNUMBER('Resol  Asuntos'!D14/NºAsuntos!G14),'Resol  Asuntos'!D14/NºAsuntos!G14," - ")</f>
        <v>0.32631756187910421</v>
      </c>
      <c r="E14" s="1158">
        <f>IF(ISNUMBER((NºAsuntos!C14+NºAsuntos!E14)/NºAsuntos!G14),(NºAsuntos!C14+NºAsuntos!E14)/NºAsuntos!G14," - ")</f>
        <v>2.8624347533254757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1.0172254690864349</v>
      </c>
      <c r="C16" s="498">
        <f>IF(ISNUMBER(NºAsuntos!I16/NºAsuntos!G16),NºAsuntos!I16/NºAsuntos!G16," - ")</f>
        <v>0.54309041427275473</v>
      </c>
      <c r="D16" s="499">
        <f>IF(ISNUMBER('Resol  Asuntos'!D16/NºAsuntos!G16),'Resol  Asuntos'!D16/NºAsuntos!G16," - ")</f>
        <v>9.7066827940731779E-2</v>
      </c>
      <c r="E16" s="500">
        <f>IF(ISNUMBER((NºAsuntos!C16+NºAsuntos!E16)/NºAsuntos!G16),(NºAsuntos!C16+NºAsuntos!E16)/NºAsuntos!G16," - ")</f>
        <v>1.5300876927729059</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0.92237442922374424</v>
      </c>
      <c r="C18" s="498">
        <f>IF(ISNUMBER(NºAsuntos!I18/NºAsuntos!G18),NºAsuntos!I18/NºAsuntos!G18," - ")</f>
        <v>0.85396039603960394</v>
      </c>
      <c r="D18" s="499">
        <f>IF(ISNUMBER('Resol  Asuntos'!D18/NºAsuntos!G18),'Resol  Asuntos'!D18/NºAsuntos!G18," - ")</f>
        <v>1.9801980198019802E-2</v>
      </c>
      <c r="E18" s="500">
        <f>IF(ISNUMBER((NºAsuntos!C18+NºAsuntos!E18)/NºAsuntos!G18),(NºAsuntos!C18+NºAsuntos!E18)/NºAsuntos!G18," - ")</f>
        <v>1.8539603960396041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1.0059636757928978</v>
      </c>
      <c r="C23" s="1156">
        <f>IF(ISNUMBER(NºAsuntos!I23/NºAsuntos!G23),NºAsuntos!I23/NºAsuntos!G23," - ")</f>
        <v>0.57693344112099165</v>
      </c>
      <c r="D23" s="1159">
        <f>IF(ISNUMBER('Resol  Asuntos'!D23/NºAsuntos!G23),'Resol  Asuntos'!D23/NºAsuntos!G23," - ")</f>
        <v>8.865534896254379E-2</v>
      </c>
      <c r="E23" s="1158">
        <f>IF(ISNUMBER((NºAsuntos!C23+NºAsuntos!E23)/NºAsuntos!G23),(NºAsuntos!C23+NºAsuntos!E23)/NºAsuntos!G23," - ")</f>
        <v>1.5653462678523309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1.0850011243534967</v>
      </c>
      <c r="C31" s="1099">
        <f>IF(ISNUMBER(NºAsuntos!I31/NºAsuntos!G31),NºAsuntos!I31/NºAsuntos!G31," - ")</f>
        <v>1.368082901554404</v>
      </c>
      <c r="D31" s="1100">
        <f>IF(ISNUMBER('Resol  Asuntos'!D31/NºAsuntos!G31),'Resol  Asuntos'!D31/NºAsuntos!G31," - ")</f>
        <v>0.2349222797927461</v>
      </c>
      <c r="E31" s="1101">
        <f>IF(ISNUMBER((NºAsuntos!C31+NºAsuntos!E31)/NºAsuntos!G31),(NºAsuntos!C31+NºAsuntos!E31)/NºAsuntos!G31," - ")</f>
        <v>2.3636269430051815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XC47bpw/nueVUkrF+BNWlUwdz1Q+7T97VD/Phmp+Mc9Rl2NXYASznqhiKWQgwTJQXsqr1UTFFgl70YouHkNY5w==" saltValue="7k9V1x1DLZXSUsjoCjhIF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MADRID</v>
      </c>
      <c r="G2" s="369"/>
      <c r="H2" s="368"/>
      <c r="I2" s="368"/>
      <c r="J2" s="368"/>
      <c r="K2" s="368"/>
      <c r="L2" s="368" t="str">
        <f>Criterios!A10 &amp;"  "&amp;Criterios!B10</f>
        <v>Provincias  MADRID</v>
      </c>
      <c r="N2" s="368" t="str">
        <f>Criterios!A11 &amp;"  "&amp;Criterios!B11</f>
        <v>Resumenes por Partidos Judiciales  MOSTOLES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6</v>
      </c>
      <c r="B9" s="190" t="s">
        <v>321</v>
      </c>
      <c r="C9" s="173" t="str">
        <f>Datos!A9</f>
        <v xml:space="preserve">Jdos. 1ª Instancia   </v>
      </c>
      <c r="D9" s="173"/>
      <c r="E9" s="1402">
        <f>IF(ISNUMBER(Datos!AQ9),Datos!AQ9," - ")</f>
        <v>6</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661</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809</v>
      </c>
      <c r="Y9" s="374">
        <f>SUM(W9:X9)</f>
        <v>809</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12049</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1725</v>
      </c>
      <c r="AJ9" s="243" t="str">
        <f>IF(ISNUMBER(Datos!BW9),Datos!BW9," - ")</f>
        <v xml:space="preserve"> - </v>
      </c>
      <c r="AK9" s="242" t="str">
        <f>IF(ISNUMBER(Datos!BX9),Datos!BX9," - ")</f>
        <v xml:space="preserve"> - </v>
      </c>
      <c r="AL9" s="266">
        <f>IF(ISNUMBER(NºAsuntos!G9/NºAsuntos!E9),NºAsuntos!G9/NºAsuntos!E9," - ")</f>
        <v>1.166183359357573</v>
      </c>
      <c r="AM9" s="284">
        <f>IF(ISNUMBER(((NºAsuntos!I9/NºAsuntos!G9)*11)/factor_trimestre),((NºAsuntos!I9/NºAsuntos!G9)*11)/factor_trimestre," - ")</f>
        <v>5.6895562356541696</v>
      </c>
      <c r="AN9" s="267">
        <f>IF(ISNUMBER('Resol  Asuntos'!D9/NºAsuntos!G9),'Resol  Asuntos'!D9/NºAsuntos!G9," - ")</f>
        <v>0.32995409334353482</v>
      </c>
      <c r="AO9" s="268">
        <f>IF(ISNUMBER((NºAsuntos!C9+NºAsuntos!E9)/NºAsuntos!G9),(NºAsuntos!C9+NºAsuntos!E9)/NºAsuntos!G9," - ")</f>
        <v>2.8965187452180565</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73</v>
      </c>
      <c r="G10" s="373">
        <f>IF(ISNUMBER(Datos!I10),Datos!I10," - ")</f>
        <v>73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37</v>
      </c>
      <c r="X10" s="240">
        <f>IF(ISNUMBER(Datos!Q10),Datos!Q10," - ")</f>
        <v>21</v>
      </c>
      <c r="Y10" s="374">
        <f t="shared" ref="Y10:Y13" si="0">SUM(W10:X10)</f>
        <v>58</v>
      </c>
      <c r="Z10" s="375" t="str">
        <f>IF(ISNUMBER(Datos!CC10),Datos!CC10," - ")</f>
        <v xml:space="preserve"> - </v>
      </c>
      <c r="AA10" s="372">
        <f>IF(ISNUMBER(Datos!L10),Datos!L10,"-")</f>
        <v>90</v>
      </c>
      <c r="AB10" s="374">
        <f>IF(ISNUMBER(Datos!R10),Datos!R10," - ")</f>
        <v>86</v>
      </c>
      <c r="AC10" s="374">
        <f t="shared" ref="AC10:AC13" si="1">IF(ISNUMBER(AA10+AB10),AA10+AB10," - ")</f>
        <v>176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9</v>
      </c>
      <c r="AJ10" s="245" t="str">
        <f>IF(ISNUMBER(Datos!BW10),Datos!BW10," - ")</f>
        <v xml:space="preserve"> - </v>
      </c>
      <c r="AK10" s="246" t="str">
        <f>IF(ISNUMBER(Datos!BX10),Datos!BX10," - ")</f>
        <v xml:space="preserve"> - </v>
      </c>
      <c r="AL10" s="266">
        <f>IF(ISNUMBER(NºAsuntos!G10/NºAsuntos!E10),NºAsuntos!G10/NºAsuntos!E10," - ")</f>
        <v>0.68518518518518523</v>
      </c>
      <c r="AM10" s="284">
        <f>IF(ISNUMBER(((NºAsuntos!I10/NºAsuntos!G10)*11)/factor_trimestre),((NºAsuntos!I10/NºAsuntos!G10)*11)/factor_trimestre," - ")</f>
        <v>7.2972972972972983</v>
      </c>
      <c r="AN10" s="267">
        <f>IF(ISNUMBER('Resol  Asuntos'!D10/NºAsuntos!G10),'Resol  Asuntos'!D10/NºAsuntos!G10," - ")</f>
        <v>0.24324324324324326</v>
      </c>
      <c r="AO10" s="268">
        <f>IF(ISNUMBER((NºAsuntos!C10+NºAsuntos!E10)/NºAsuntos!G10),(NºAsuntos!C10+NºAsuntos!E10)/NºAsuntos!G10," - ")</f>
        <v>3.4324324324324325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321</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56</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39</v>
      </c>
      <c r="Y11" s="374">
        <f t="shared" si="0"/>
        <v>39</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783</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204</v>
      </c>
      <c r="AJ11" s="245" t="str">
        <f>IF(ISNUMBER(Datos!BW11),Datos!BW11," - ")</f>
        <v xml:space="preserve"> - </v>
      </c>
      <c r="AK11" s="246" t="str">
        <f>IF(ISNUMBER(Datos!BX11),Datos!BX11," - ")</f>
        <v xml:space="preserve"> - </v>
      </c>
      <c r="AL11" s="266">
        <f>IF(ISNUMBER(NºAsuntos!G11/NºAsuntos!E11),NºAsuntos!G11/NºAsuntos!E11," - ")</f>
        <v>1.0089820359281436</v>
      </c>
      <c r="AM11" s="284">
        <f>IF(ISNUMBER(((NºAsuntos!I11/NºAsuntos!G11)*11)/factor_trimestre),((NºAsuntos!I11/NºAsuntos!G11)*11)/factor_trimestre," - ")</f>
        <v>4.7002967359050443</v>
      </c>
      <c r="AN11" s="267">
        <f>IF(ISNUMBER('Resol  Asuntos'!D11/NºAsuntos!G11),'Resol  Asuntos'!D11/NºAsuntos!G11," - ")</f>
        <v>0.30267062314540061</v>
      </c>
      <c r="AO11" s="268">
        <f>IF(ISNUMBER((NºAsuntos!C11+NºAsuntos!E11)/NºAsuntos!G11),(NºAsuntos!C11+NºAsuntos!E11)/NºAsuntos!G11," - ")</f>
        <v>2.5667655786350148</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9</v>
      </c>
      <c r="F14" s="1162">
        <f t="shared" si="5"/>
        <v>73</v>
      </c>
      <c r="G14" s="1163">
        <f t="shared" si="5"/>
        <v>73</v>
      </c>
      <c r="H14" s="1162">
        <f t="shared" si="5"/>
        <v>0</v>
      </c>
      <c r="I14" s="1164">
        <f t="shared" si="5"/>
        <v>0</v>
      </c>
      <c r="J14" s="1164">
        <f t="shared" si="5"/>
        <v>0</v>
      </c>
      <c r="K14" s="1164">
        <f t="shared" si="5"/>
        <v>0</v>
      </c>
      <c r="L14" s="1164">
        <f t="shared" si="5"/>
        <v>729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37</v>
      </c>
      <c r="X14" s="1164">
        <f t="shared" si="6"/>
        <v>869</v>
      </c>
      <c r="Y14" s="1165">
        <f t="shared" si="6"/>
        <v>906</v>
      </c>
      <c r="Z14" s="1165">
        <f t="shared" si="6"/>
        <v>0</v>
      </c>
      <c r="AA14" s="1165">
        <f t="shared" si="6"/>
        <v>90</v>
      </c>
      <c r="AB14" s="1165">
        <f t="shared" si="6"/>
        <v>12918</v>
      </c>
      <c r="AC14" s="1165">
        <f t="shared" si="6"/>
        <v>176</v>
      </c>
      <c r="AD14" s="1165">
        <f t="shared" si="6"/>
        <v>0</v>
      </c>
      <c r="AE14" s="1169">
        <f t="shared" si="6"/>
        <v>0</v>
      </c>
      <c r="AF14" s="1162">
        <f t="shared" si="6"/>
        <v>0</v>
      </c>
      <c r="AG14" s="1170">
        <f t="shared" si="6"/>
        <v>0</v>
      </c>
      <c r="AH14" s="1167">
        <f t="shared" si="6"/>
        <v>0</v>
      </c>
      <c r="AI14" s="1162">
        <f t="shared" si="6"/>
        <v>1938</v>
      </c>
      <c r="AJ14" s="1164">
        <f t="shared" si="6"/>
        <v>0</v>
      </c>
      <c r="AK14" s="1167">
        <f>SUBTOTAL(9,AK9:AK13)</f>
        <v>0</v>
      </c>
      <c r="AL14" s="1171">
        <f>IF(ISNUMBER(NºAsuntos!G14/NºAsuntos!E14),NºAsuntos!G14/NºAsuntos!E14," - ")</f>
        <v>1.1410182516810758</v>
      </c>
      <c r="AM14" s="1171">
        <f>IF(ISNUMBER(((NºAsuntos!I14/NºAsuntos!G14)*11)/factor_trimestre),((NºAsuntos!I14/NºAsuntos!G14)*11)/factor_trimestre," - ")</f>
        <v>5.5873042599764275</v>
      </c>
      <c r="AN14" s="1172">
        <f>IF(ISNUMBER('Resol  Asuntos'!D14/NºAsuntos!G14),'Resol  Asuntos'!D14/NºAsuntos!G14," - ")</f>
        <v>0.32631756187910421</v>
      </c>
      <c r="AO14" s="1173">
        <f>IF(ISNUMBER((NºAsuntos!C14+NºAsuntos!E14)/NºAsuntos!G14),(NºAsuntos!C14+NºAsuntos!E14)/NºAsuntos!G14," - ")</f>
        <v>2.8624347533254757</v>
      </c>
      <c r="AP14" s="1174" t="str">
        <f t="shared" si="2"/>
        <v xml:space="preserve"> - </v>
      </c>
      <c r="AQ14" s="1174">
        <f>IF(ISNUMBER((H14-W14+K14)/(F14)),(H14-W14+K14)/(F14)," - ")</f>
        <v>-0.50684931506849318</v>
      </c>
      <c r="AR14" s="1175">
        <f>IF(ISNUMBER((Datos!P14-Datos!Q14)/(Datos!R14-Datos!P14+Datos!Q14)),(Datos!P14-Datos!Q14)/(Datos!R14-Datos!P14+Datos!Q14)," - ")</f>
        <v>-1.0721396844846071E-2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6</v>
      </c>
      <c r="B16" s="300" t="s">
        <v>511</v>
      </c>
      <c r="C16" s="173" t="str">
        <f>Datos!A16</f>
        <v xml:space="preserve">Jdos. Instrucción                               </v>
      </c>
      <c r="D16" s="173"/>
      <c r="E16" s="1402">
        <f>IF(ISNUMBER(Datos!AQ16),Datos!AQ16," - ")</f>
        <v>6</v>
      </c>
      <c r="F16" s="239">
        <f>IF(ISNUMBER(AA16+W16-Datos!J16-K16),AA16+W16-Datos!J16-K16," - ")</f>
        <v>1852</v>
      </c>
      <c r="G16" s="373">
        <f>IF(ISNUMBER(IF(D_I="SI",Datos!I16,Datos!I16+Datos!AC16)),IF(D_I="SI",Datos!I16,Datos!I16+Datos!AC16)," - ")</f>
        <v>1809</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83</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3307</v>
      </c>
      <c r="X16" s="240">
        <f>IF(ISNUMBER(Datos!Q16),Datos!Q16," - ")</f>
        <v>90</v>
      </c>
      <c r="Y16" s="374">
        <f>SUM(W16)</f>
        <v>3307</v>
      </c>
      <c r="Z16" s="375" t="str">
        <f>IF(ISNUMBER(Datos!CC16),Datos!CC16," - ")</f>
        <v xml:space="preserve"> - </v>
      </c>
      <c r="AA16" s="372">
        <f>IF(ISNUMBER(IF(D_I="SI",Datos!L16,Datos!L16+Datos!AF16)),IF(D_I="SI",Datos!L16,Datos!L16+Datos!AF16)," - ")</f>
        <v>1796</v>
      </c>
      <c r="AB16" s="374">
        <f>IF(ISNUMBER(Datos!R16),Datos!R16," - ")</f>
        <v>348</v>
      </c>
      <c r="AC16" s="374">
        <f t="shared" ref="AC16:AC22" si="8">IF(ISNUMBER(AA16+AB16),AA16+AB16," - ")</f>
        <v>2144</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321</v>
      </c>
      <c r="AJ16" s="245" t="str">
        <f>IF(ISNUMBER(Datos!BW16),Datos!BW16," - ")</f>
        <v xml:space="preserve"> - </v>
      </c>
      <c r="AK16" s="246" t="str">
        <f>IF(ISNUMBER(Datos!BX16),Datos!BX16," - ")</f>
        <v xml:space="preserve"> - </v>
      </c>
      <c r="AL16" s="266">
        <f>IF(ISNUMBER(NºAsuntos!G16/NºAsuntos!E16),NºAsuntos!G16/NºAsuntos!E16," - ")</f>
        <v>1.0172254690864349</v>
      </c>
      <c r="AM16" s="284">
        <f>IF(ISNUMBER(((NºAsuntos!I16/NºAsuntos!G16)*11)/factor_trimestre),((NºAsuntos!I16/NºAsuntos!G16)*11)/factor_trimestre," - ")</f>
        <v>1.6292712428182643</v>
      </c>
      <c r="AN16" s="267">
        <f>IF(ISNUMBER('Resol  Asuntos'!D16/NºAsuntos!G16),'Resol  Asuntos'!D16/NºAsuntos!G16," - ")</f>
        <v>9.7066827940731779E-2</v>
      </c>
      <c r="AO16" s="268">
        <f>IF(ISNUMBER((NºAsuntos!C16+NºAsuntos!E16)/NºAsuntos!G16),(NºAsuntos!C16+NºAsuntos!E16)/NºAsuntos!G16," - ")</f>
        <v>1.5300876927729059</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311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404</v>
      </c>
      <c r="X18" s="240">
        <f>IF(ISNUMBER(Datos!Q18),Datos!Q18," - ")</f>
        <v>2</v>
      </c>
      <c r="Y18" s="374">
        <f t="shared" si="9"/>
        <v>406</v>
      </c>
      <c r="Z18" s="375" t="str">
        <f>IF(ISNUMBER(Datos!CC18),Datos!CC18," - ")</f>
        <v xml:space="preserve"> - </v>
      </c>
      <c r="AA18" s="372">
        <f>IF(ISNUMBER(Datos!L18),Datos!L18,"-")</f>
        <v>345</v>
      </c>
      <c r="AB18" s="374">
        <f>IF(ISNUMBER(Datos!R18),Datos!R18," - ")</f>
        <v>17</v>
      </c>
      <c r="AC18" s="374">
        <f t="shared" si="8"/>
        <v>362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8</v>
      </c>
      <c r="AJ18" s="245" t="str">
        <f>IF(ISNUMBER(Datos!BW18),Datos!BW18," - ")</f>
        <v xml:space="preserve"> - </v>
      </c>
      <c r="AK18" s="246" t="str">
        <f>IF(ISNUMBER(Datos!BX18),Datos!BX18," - ")</f>
        <v xml:space="preserve"> - </v>
      </c>
      <c r="AL18" s="266">
        <f>IF(ISNUMBER(NºAsuntos!G18/NºAsuntos!E18),NºAsuntos!G18/NºAsuntos!E18," - ")</f>
        <v>0.92237442922374424</v>
      </c>
      <c r="AM18" s="284">
        <f>IF(ISNUMBER(((NºAsuntos!I18/NºAsuntos!G18)*11)/factor_trimestre),((NºAsuntos!I18/NºAsuntos!G18)*11)/factor_trimestre," - ")</f>
        <v>2.5618811881188117</v>
      </c>
      <c r="AN18" s="267">
        <f>IF(ISNUMBER('Resol  Asuntos'!D18/NºAsuntos!G18),'Resol  Asuntos'!D18/NºAsuntos!G18," - ")</f>
        <v>1.9801980198019802E-2</v>
      </c>
      <c r="AO18" s="268">
        <f>IF(ISNUMBER((NºAsuntos!C18+NºAsuntos!E18)/NºAsuntos!G18),(NºAsuntos!C18+NºAsuntos!E18)/NºAsuntos!G18," - ")</f>
        <v>1.8539603960396041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7</v>
      </c>
      <c r="F23" s="1162">
        <f>SUBTOTAL(9,F15:F22)</f>
        <v>1852</v>
      </c>
      <c r="G23" s="1163">
        <f>SUBTOTAL(9,G16:G22)</f>
        <v>2120</v>
      </c>
      <c r="H23" s="1162">
        <f t="shared" ref="H23:O23" si="13">SUBTOTAL(9,H15:H22)</f>
        <v>0</v>
      </c>
      <c r="I23" s="1164">
        <f t="shared" si="13"/>
        <v>0</v>
      </c>
      <c r="J23" s="1164">
        <f t="shared" si="13"/>
        <v>0</v>
      </c>
      <c r="K23" s="1164">
        <f t="shared" si="13"/>
        <v>0</v>
      </c>
      <c r="L23" s="1164">
        <f t="shared" si="13"/>
        <v>85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3711</v>
      </c>
      <c r="X23" s="1164">
        <f t="shared" si="14"/>
        <v>92</v>
      </c>
      <c r="Y23" s="1165">
        <f t="shared" si="14"/>
        <v>3713</v>
      </c>
      <c r="Z23" s="1165">
        <f t="shared" si="14"/>
        <v>0</v>
      </c>
      <c r="AA23" s="1165">
        <f t="shared" si="14"/>
        <v>2141</v>
      </c>
      <c r="AB23" s="1165">
        <f t="shared" si="14"/>
        <v>365</v>
      </c>
      <c r="AC23" s="1165">
        <f t="shared" si="14"/>
        <v>2506</v>
      </c>
      <c r="AD23" s="1165">
        <f t="shared" si="14"/>
        <v>0</v>
      </c>
      <c r="AE23" s="1169">
        <f t="shared" si="14"/>
        <v>0</v>
      </c>
      <c r="AF23" s="1162">
        <f t="shared" si="14"/>
        <v>0</v>
      </c>
      <c r="AG23" s="1170">
        <f t="shared" si="14"/>
        <v>0</v>
      </c>
      <c r="AH23" s="1167">
        <f t="shared" si="14"/>
        <v>0</v>
      </c>
      <c r="AI23" s="1162">
        <f t="shared" si="14"/>
        <v>329</v>
      </c>
      <c r="AJ23" s="1164">
        <f t="shared" si="14"/>
        <v>0</v>
      </c>
      <c r="AK23" s="1167">
        <f t="shared" si="14"/>
        <v>0</v>
      </c>
      <c r="AL23" s="1171">
        <f>IF(ISNUMBER(NºAsuntos!G23/NºAsuntos!E23),NºAsuntos!G23/NºAsuntos!E23," - ")</f>
        <v>1.0059636757928978</v>
      </c>
      <c r="AM23" s="1171">
        <f>IF(ISNUMBER(((NºAsuntos!I23/NºAsuntos!G23)*11)/factor_trimestre),((NºAsuntos!I23/NºAsuntos!G23)*11)/factor_trimestre," - ")</f>
        <v>1.730800323362975</v>
      </c>
      <c r="AN23" s="1172">
        <f>IF(ISNUMBER('Resol  Asuntos'!D23/NºAsuntos!G23),'Resol  Asuntos'!D23/NºAsuntos!G23," - ")</f>
        <v>8.865534896254379E-2</v>
      </c>
      <c r="AO23" s="1173">
        <f>IF(ISNUMBER((NºAsuntos!C23+NºAsuntos!E23)/NºAsuntos!G23),(NºAsuntos!C23+NºAsuntos!E23)/NºAsuntos!G23," - ")</f>
        <v>1.5653462678523309</v>
      </c>
      <c r="AP23" s="1174" t="str">
        <f t="shared" si="2"/>
        <v xml:space="preserve"> - </v>
      </c>
      <c r="AQ23" s="1174">
        <f>IF(ISNUMBER((H23-W23+K23)/(F23)),(H23-W23+K23)/(F23)," - ")</f>
        <v>-2.0037796976241902</v>
      </c>
      <c r="AR23" s="1175">
        <f>IF(ISNUMBER((Datos!P23-Datos!Q23)/(Datos!R23-Datos!P23+Datos!Q23)),(Datos!P23-Datos!Q23)/(Datos!R23-Datos!P23+Datos!Q23)," - ")</f>
        <v>-1.8817204301075269E-2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16</v>
      </c>
      <c r="F31" s="1117">
        <f t="shared" si="20"/>
        <v>1925</v>
      </c>
      <c r="G31" s="1118">
        <f t="shared" si="20"/>
        <v>2193</v>
      </c>
      <c r="H31" s="1117">
        <f t="shared" si="20"/>
        <v>0</v>
      </c>
      <c r="I31" s="1119">
        <f t="shared" si="20"/>
        <v>0</v>
      </c>
      <c r="J31" s="1119">
        <f t="shared" si="20"/>
        <v>0</v>
      </c>
      <c r="K31" s="1180">
        <f t="shared" si="20"/>
        <v>0</v>
      </c>
      <c r="L31" s="1119">
        <f t="shared" si="20"/>
        <v>814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3748</v>
      </c>
      <c r="X31" s="1118">
        <f t="shared" si="21"/>
        <v>961</v>
      </c>
      <c r="Y31" s="1125">
        <f t="shared" si="21"/>
        <v>4619</v>
      </c>
      <c r="Z31" s="1125">
        <f t="shared" si="21"/>
        <v>0</v>
      </c>
      <c r="AA31" s="1125">
        <f t="shared" si="21"/>
        <v>2231</v>
      </c>
      <c r="AB31" s="1125">
        <f t="shared" si="21"/>
        <v>13283</v>
      </c>
      <c r="AC31" s="1125">
        <f t="shared" si="21"/>
        <v>2682</v>
      </c>
      <c r="AD31" s="1125">
        <f t="shared" si="21"/>
        <v>0</v>
      </c>
      <c r="AE31" s="1127">
        <f t="shared" si="21"/>
        <v>0</v>
      </c>
      <c r="AF31" s="1128">
        <f t="shared" si="21"/>
        <v>0</v>
      </c>
      <c r="AG31" s="1129">
        <f t="shared" si="21"/>
        <v>0</v>
      </c>
      <c r="AH31" s="1127">
        <f t="shared" si="21"/>
        <v>0</v>
      </c>
      <c r="AI31" s="1117">
        <f t="shared" si="21"/>
        <v>2267</v>
      </c>
      <c r="AJ31" s="1117">
        <f t="shared" si="21"/>
        <v>0</v>
      </c>
      <c r="AK31" s="1127">
        <f t="shared" si="21"/>
        <v>0</v>
      </c>
      <c r="AL31" s="1183">
        <f>IF(ISNUMBER(NºAsuntos!G31/NºAsuntos!E31),NºAsuntos!G31/NºAsuntos!E31," - ")</f>
        <v>1.0850011243534967</v>
      </c>
      <c r="AM31" s="1184">
        <f>IF(ISNUMBER(((NºAsuntos!I31/NºAsuntos!G31)*11)/factor_trimestre),((NºAsuntos!I31/NºAsuntos!G31)*11)/factor_trimestre," - ")</f>
        <v>4.1042487046632123</v>
      </c>
      <c r="AN31" s="1184">
        <f>IF(ISNUMBER('Resol  Asuntos'!D31/NºAsuntos!G31),'Resol  Asuntos'!D31/NºAsuntos!G31," - ")</f>
        <v>0.2349222797927461</v>
      </c>
      <c r="AO31" s="1185">
        <f>IF(ISNUMBER((NºAsuntos!C31+NºAsuntos!E31)/NºAsuntos!G31),(NºAsuntos!C31+NºAsuntos!E31)/NºAsuntos!G31," - ")</f>
        <v>2.3636269430051815</v>
      </c>
      <c r="AP31" s="1186" t="str">
        <f t="shared" si="2"/>
        <v xml:space="preserve"> - </v>
      </c>
      <c r="AQ31" s="1187">
        <f>IF(OR(ISNUMBER(FIND("01",Criterios!A8,1)),ISNUMBER(FIND("02",Criterios!A8,1)),ISNUMBER(FIND("03",Criterios!A8,1)),ISNUMBER(FIND("04",Criterios!A8,1))),(I31-W31+K31)/(F31-K31),(H31-W31+K31)/(F31-K31))</f>
        <v>-1.9470129870129871</v>
      </c>
      <c r="AR31" s="1188">
        <f>IF(ISNUMBER((Datos!P31-Datos!Q31)/(Datos!R31-Datos!P31+Datos!Q31)),(Datos!P31-Datos!Q31)/(Datos!R31-Datos!P31+Datos!Q31)," - ")</f>
        <v>-1.0945644080416976E-2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626.57142857142856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2.9259876125458786</v>
      </c>
      <c r="F33" s="276">
        <f>IF(ISNUMBER(STDEV(F8:F30)),STDEV(F8:F30),"-")</f>
        <v>938.08841090094847</v>
      </c>
      <c r="G33" s="277">
        <f>IF(ISNUMBER(STDEV(G8:G30)),STDEV(G8:G30),"-")</f>
        <v>924.31215094304173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1675.6381300439373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766.51676070679923</v>
      </c>
      <c r="AJ33" s="276">
        <f t="shared" si="25"/>
        <v>0</v>
      </c>
      <c r="AK33" s="278">
        <f t="shared" si="25"/>
        <v>0</v>
      </c>
      <c r="AL33" s="273">
        <f t="shared" si="25"/>
        <v>0.15950329273194522</v>
      </c>
      <c r="AM33" s="274">
        <f t="shared" si="25"/>
        <v>2.2124663259548938</v>
      </c>
      <c r="AN33" s="274">
        <f t="shared" si="25"/>
        <v>0.12955766542221087</v>
      </c>
      <c r="AO33" s="275">
        <f t="shared" si="25"/>
        <v>0.74211821448129212</v>
      </c>
      <c r="AP33" s="317" t="str">
        <f t="shared" si="25"/>
        <v>-</v>
      </c>
      <c r="AQ33" s="318">
        <f t="shared" si="25"/>
        <v>1.0584896244693061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TMvnCqLLbNge16ug27q0FV5zUe92AQNHky8pQ8RKEO2t7yILyLnXuLR6CS8clknwL3Ro3Qjgm1tS5rSevsUASQ==" saltValue="Z//ri6UYE5EW9Bg8oITYE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MADRID</v>
      </c>
      <c r="E2" s="287"/>
    </row>
    <row r="3" spans="2:20" ht="17.25" customHeight="1">
      <c r="C3" s="291"/>
      <c r="D3" s="286" t="str">
        <f>Criterios!A10 &amp;"  "&amp;Criterios!B10</f>
        <v>Provincias  MADRID</v>
      </c>
      <c r="E3" s="287"/>
    </row>
    <row r="4" spans="2:20" ht="17.25" customHeight="1" thickBot="1">
      <c r="D4" s="286" t="str">
        <f>Criterios!A11 &amp;"  "&amp;Criterios!B11</f>
        <v>Resumenes por Partidos Judiciales  MOSTOLES</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0.57390510948905105</v>
      </c>
      <c r="I9" s="395">
        <f>IF(ISNUMBER((Tasas!C9-Datos!BE9)/Datos!BE9),(Tasas!C9-Datos!BE9)/Datos!BE9," - ")</f>
        <v>-0.35266082038166235</v>
      </c>
      <c r="J9" s="394">
        <f>IF(ISNUMBER((Tasas!D9-Datos!BF9)/Datos!BF9),(Tasas!D9-Datos!BF9)/Datos!BF9," - ")</f>
        <v>-0.35514353771455759</v>
      </c>
      <c r="K9" s="396">
        <f>IF(ISNUMBER((Tasas!E9-Datos!BG9)/Datos!BG9),(Tasas!E9-Datos!BG9)/Datos!BG9," - ")</f>
        <v>-0.26370493496557007</v>
      </c>
      <c r="M9" t="e">
        <f>IF(Monitorios="SI",Datos!CE9,0)</f>
        <v>#REF!</v>
      </c>
      <c r="N9" t="e">
        <f>IF(Monitorios="SI",Datos!CF9,0)</f>
        <v>#REF!</v>
      </c>
      <c r="O9" t="e">
        <f>IF(Monitorios="SI",Datos!CG9,0)</f>
        <v>#REF!</v>
      </c>
      <c r="P9" t="e">
        <f>IF(Monitorios="SI",Datos!CH9,0)</f>
        <v>#REF!</v>
      </c>
      <c r="Q9">
        <f>IF(J_V="SI",0,Datos!AG9)</f>
        <v>195</v>
      </c>
      <c r="R9">
        <f>IF(J_V="SI",0,Datos!AH9)</f>
        <v>124</v>
      </c>
      <c r="S9">
        <f>IF(J_V="SI",0,Datos!AI9)</f>
        <v>134</v>
      </c>
      <c r="T9">
        <f>IF(J_V="SI",0,Datos!AJ9)</f>
        <v>169</v>
      </c>
    </row>
    <row r="10" spans="2:20" ht="14.25">
      <c r="B10" s="300" t="s">
        <v>321</v>
      </c>
      <c r="C10" s="7" t="str">
        <f>Datos!A10</f>
        <v>Jdos. Violencia contra la mujer</v>
      </c>
      <c r="D10" s="397">
        <f>IF(ISNUMBER((Datos!I10-Datos!S10)/Datos!S10),(Datos!I10-Datos!S10)/Datos!S10," - ")</f>
        <v>-0.26262626262626265</v>
      </c>
      <c r="E10" s="393">
        <f>IF(ISNUMBER((Datos!J10-Datos!T10)/Datos!T10),(Datos!J10-Datos!T10)/Datos!T10," - ")</f>
        <v>0.2</v>
      </c>
      <c r="F10" s="393">
        <f>IF(ISNUMBER((Datos!K10-Datos!U10)/Datos!U10),(Datos!K10-Datos!U10)/Datos!U10," - ")</f>
        <v>-0.3392857142857143</v>
      </c>
      <c r="G10" s="394">
        <f>IF(ISNUMBER((Datos!L10-Datos!V10)/Datos!V10),(Datos!L10-Datos!V10)/Datos!V10," - ")</f>
        <v>2.2727272727272728E-2</v>
      </c>
      <c r="H10" s="244">
        <f>IF(ISNUMBER((Datos!M10-Datos!W10)/Datos!W10),(Datos!M10-Datos!W10)/Datos!W10," - ")</f>
        <v>-0.4</v>
      </c>
      <c r="I10" s="395">
        <f>IF(ISNUMBER((Tasas!C10-Datos!BE10)/Datos!BE10),(Tasas!C10-Datos!BE10)/Datos!BE10," - ")</f>
        <v>0.54791154791154795</v>
      </c>
      <c r="J10" s="394">
        <f>IF(ISNUMBER((Tasas!D10-Datos!BF10)/Datos!BF10),(Tasas!D10-Datos!BF10)/Datos!BF10," - ")</f>
        <v>-9.1891891891891814E-2</v>
      </c>
      <c r="K10" s="396">
        <f>IF(ISNUMBER((Tasas!E10-Datos!BG10)/Datos!BG10),(Tasas!E10-Datos!BG10)/Datos!BG10," - ")</f>
        <v>0.33483483483483473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9.6774193548387094E-2</v>
      </c>
      <c r="I11" s="395">
        <f>IF(ISNUMBER((Tasas!C11-Datos!BE11)/Datos!BE11),(Tasas!C11-Datos!BE11)/Datos!BE11," - ")</f>
        <v>-7.091410823355547E-2</v>
      </c>
      <c r="J11" s="394">
        <f>IF(ISNUMBER((Tasas!D11-Datos!BF11)/Datos!BF11),(Tasas!D11-Datos!BF11)/Datos!BF11," - ")</f>
        <v>-0.37156671706595296</v>
      </c>
      <c r="K11" s="396">
        <f>IF(ISNUMBER((Tasas!E11-Datos!BG11)/Datos!BG11),(Tasas!E11-Datos!BG11)/Datos!BG11," - ")</f>
        <v>-4.45161842110985E-2</v>
      </c>
      <c r="M11" t="e">
        <f>IF(Monitorios="SI",Datos!CE11,0)</f>
        <v>#REF!</v>
      </c>
      <c r="N11" t="e">
        <f>IF(Monitorios="SI",Datos!CF11,0)</f>
        <v>#REF!</v>
      </c>
      <c r="O11" t="e">
        <f>IF(Monitorios="SI",Datos!CG11,0)</f>
        <v>#REF!</v>
      </c>
      <c r="P11" t="e">
        <f>IF(Monitorios="SI",Datos!CH11,0)</f>
        <v>#REF!</v>
      </c>
      <c r="Q11">
        <f>IF(J_V="SI",0,Datos!AG11)</f>
        <v>151</v>
      </c>
      <c r="R11">
        <f>IF(J_V="SI",0,Datos!AH11)</f>
        <v>355</v>
      </c>
      <c r="S11">
        <f>IF(J_V="SI",0,Datos!AI11)</f>
        <v>292</v>
      </c>
      <c r="T11">
        <f>IF(J_V="SI",0,Datos!AJ11)</f>
        <v>214</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0.49421742482652276</v>
      </c>
      <c r="I14" s="402">
        <f>IF(ISNUMBER((Tasas!C14-Datos!BE14)/Datos!BE14),(Tasas!C14-Datos!BE14)/Datos!BE14," - ")</f>
        <v>-0.31242543505657866</v>
      </c>
      <c r="J14" s="400">
        <f>IF(ISNUMBER((Tasas!D14-Datos!BF14)/Datos!BF14),(Tasas!D14-Datos!BF14)/Datos!BF14," - ")</f>
        <v>-0.35226033902180387</v>
      </c>
      <c r="K14" s="403">
        <f>IF(ISNUMBER((Tasas!E14-Datos!BG14)/Datos!BG14),(Tasas!E14-Datos!BG14)/Datos!BG14," - ")</f>
        <v>-0.2289026035338097</v>
      </c>
      <c r="M14" t="e">
        <f>IF(Monitorios="SI",Datos!CE14,0)</f>
        <v>#REF!</v>
      </c>
      <c r="N14" t="e">
        <f>IF(Monitorios="SI",Datos!CF14,0)</f>
        <v>#REF!</v>
      </c>
      <c r="O14" t="e">
        <f>IF(Monitorios="SI",Datos!CG14,0)</f>
        <v>#REF!</v>
      </c>
      <c r="P14" t="e">
        <f>IF(Monitorios="SI",Datos!CH14,0)</f>
        <v>#REF!</v>
      </c>
      <c r="Q14">
        <f>IF(J_V="SI",0,Datos!AG14)</f>
        <v>346</v>
      </c>
      <c r="R14">
        <f>IF(J_V="SI",0,Datos!AH14)</f>
        <v>479</v>
      </c>
      <c r="S14">
        <f>IF(J_V="SI",0,Datos!AI14)</f>
        <v>426</v>
      </c>
      <c r="T14">
        <f>IF(J_V="SI",0,Datos!AJ14)</f>
        <v>383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-4.9395691014188121E-2</v>
      </c>
      <c r="E16" s="393">
        <f>IF(ISNUMBER(
   IF(D_I="SI",(Datos!J16-Datos!T16)/Datos!T16,(Datos!J16+Datos!AD16-(Datos!T16+Datos!AL16))/(Datos!T16+Datos!AL16))
     ),IF(D_I="SI",(Datos!J16-Datos!T16)/Datos!T16,(Datos!J16+Datos!AD16-(Datos!T16+Datos!AL16))/(Datos!T16+Datos!AL16))," - ")</f>
        <v>-7.7206925915413005E-2</v>
      </c>
      <c r="F16" s="393">
        <f>IF(ISNUMBER(
   IF(D_I="SI",(Datos!K16-Datos!U16)/Datos!U16,(Datos!K16+Datos!AE16-(Datos!U16+Datos!AM16))/(Datos!U16+Datos!AM16))
     ),IF(D_I="SI",(Datos!K16-Datos!U16)/Datos!U16,(Datos!K16+Datos!AE16-(Datos!U16+Datos!AM16))/(Datos!U16+Datos!AM16))," - ")</f>
        <v>-0.1069403186605455</v>
      </c>
      <c r="G16" s="394">
        <f>IF(ISNUMBER(
   IF(D_I="SI",(Datos!L16-Datos!V16)/Datos!V16,(Datos!L16+Datos!AF16-(Datos!V16+Datos!AN16))/(Datos!V16+Datos!AN16))
     ),IF(D_I="SI",(Datos!L16-Datos!V16)/Datos!V16,(Datos!L16+Datos!AF16-(Datos!V16+Datos!AN16))/(Datos!V16+Datos!AN16))," - ")</f>
        <v>5.7714958775029447E-2</v>
      </c>
      <c r="H16" s="244">
        <f>IF(ISNUMBER((Datos!M16-Datos!W16)/Datos!W16),(Datos!M16-Datos!W16)/Datos!W16," - ")</f>
        <v>-0.2113022113022113</v>
      </c>
      <c r="I16" s="395">
        <f>IF(ISNUMBER((Tasas!C16-Datos!BE16)/Datos!BE16),(Tasas!C16-Datos!BE16)/Datos!BE16," - ")</f>
        <v>0.18437208719199688</v>
      </c>
      <c r="J16" s="394">
        <f>IF(ISNUMBER((Tasas!D16-Datos!BF16)/Datos!BF16),(Tasas!D16-Datos!BF16)/Datos!BF16," - ")</f>
        <v>-0.11685881114366148</v>
      </c>
      <c r="K16" s="396">
        <f>IF(ISNUMBER((Tasas!E16-Datos!BG16)/Datos!BG16),(Tasas!E16-Datos!BG16)/Datos!BG16," - ")</f>
        <v>4.4215762318111029E-2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0.27459016393442626</v>
      </c>
      <c r="E18" s="393">
        <f>IF(ISNUMBER(
   IF(D_I="SI",(Datos!J18-Datos!T18)/Datos!T18,(Datos!J18+Datos!AD18-(Datos!T18+Datos!AL18))/(Datos!T18+Datos!AL18))
     ),IF(D_I="SI",(Datos!J18-Datos!T18)/Datos!T18,(Datos!J18+Datos!AD18-(Datos!T18+Datos!AL18))/(Datos!T18+Datos!AL18))," - ")</f>
        <v>0.16489361702127658</v>
      </c>
      <c r="F18" s="393">
        <f>IF(ISNUMBER(
   IF(D_I="SI",(Datos!K18-Datos!U18)/Datos!U18,(Datos!K18+Datos!AE18-(Datos!U18+Datos!AM18))/(Datos!U18+Datos!AM18))
     ),IF(D_I="SI",(Datos!K18-Datos!U18)/Datos!U18,(Datos!K18+Datos!AE18-(Datos!U18+Datos!AM18))/(Datos!U18+Datos!AM18))," - ")</f>
        <v>3.5897435897435895E-2</v>
      </c>
      <c r="G18" s="394">
        <f>IF(ISNUMBER(
   IF(D_I="SI",(Datos!L18-Datos!V18)/Datos!V18,(Datos!L18+Datos!AF18-(Datos!V18+Datos!AN18))/(Datos!V18+Datos!AN18))
     ),IF(D_I="SI",(Datos!L18-Datos!V18)/Datos!V18,(Datos!L18+Datos!AF18-(Datos!V18+Datos!AN18))/(Datos!V18+Datos!AN18))," - ")</f>
        <v>0.47435897435897434</v>
      </c>
      <c r="H18" s="244">
        <f>IF(ISNUMBER((Datos!M18-Datos!W18)/Datos!W18),(Datos!M18-Datos!W18)/Datos!W18," - ")</f>
        <v>-0.63636363636363635</v>
      </c>
      <c r="I18" s="395">
        <f>IF(ISNUMBER((Tasas!C18-Datos!BE18)/Datos!BE18),(Tasas!C18-Datos!BE18)/Datos!BE18," - ")</f>
        <v>0.42326732673267331</v>
      </c>
      <c r="J18" s="394">
        <f>IF(ISNUMBER((Tasas!D18-Datos!BF18)/Datos!BF18),(Tasas!D18-Datos!BF18)/Datos!BF18," - ")</f>
        <v>-0.64896489648964906</v>
      </c>
      <c r="K18" s="396">
        <f>IF(ISNUMBER((Tasas!E18-Datos!BG18)/Datos!BG18),(Tasas!E18-Datos!BG18)/Datos!BG18," - ")</f>
        <v>0.16620089428297682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-1.2575687005123428E-2</v>
      </c>
      <c r="E23" s="399">
        <f>IF(ISNUMBER(
   IF(D_I="SI",(Datos!J23-Datos!T23)/Datos!T23,(Datos!J23+Datos!AD23-(Datos!T23+Datos!AL23))/(Datos!T23+Datos!AL23))
     ),IF(D_I="SI",(Datos!J23-Datos!T23)/Datos!T23,(Datos!J23+Datos!AD23-(Datos!T23+Datos!AL23))/(Datos!T23+Datos!AL23))," - ")</f>
        <v>-5.385996409335727E-2</v>
      </c>
      <c r="F23" s="399">
        <f>IF(ISNUMBER(
   IF(D_I="SI",(Datos!K23-Datos!U23)/Datos!U23,(Datos!K23+Datos!AE23-(Datos!U23+Datos!AM23))/(Datos!U23+Datos!AM23))
     ),IF(D_I="SI",(Datos!K23-Datos!U23)/Datos!U23,(Datos!K23+Datos!AE23-(Datos!U23+Datos!AM23))/(Datos!U23+Datos!AM23))," - ")</f>
        <v>-9.3330075739066695E-2</v>
      </c>
      <c r="G23" s="400">
        <f>IF(ISNUMBER(
   IF(D_I="SI",(Datos!L23-Datos!V23)/Datos!V23,(Datos!L23+Datos!AF23-(Datos!V23+Datos!AN23))/(Datos!V23+Datos!AN23))
     ),IF(D_I="SI",(Datos!L23-Datos!V23)/Datos!V23,(Datos!L23+Datos!AF23-(Datos!V23+Datos!AN23))/(Datos!V23+Datos!AN23))," - ")</f>
        <v>0.10817805383022774</v>
      </c>
      <c r="H23" s="401">
        <f>IF(ISNUMBER((Datos!M23-Datos!W23)/Datos!W23),(Datos!M23-Datos!W23)/Datos!W23," - ")</f>
        <v>-0.23310023310023309</v>
      </c>
      <c r="I23" s="402">
        <f>IF(ISNUMBER((Tasas!C23-Datos!BE23)/Datos!BE23),(Tasas!C23-Datos!BE23)/Datos!BE23," - ")</f>
        <v>0.22225081496284618</v>
      </c>
      <c r="J23" s="400">
        <f>IF(ISNUMBER((Tasas!D23-Datos!BF23)/Datos!BF23),(Tasas!D23-Datos!BF23)/Datos!BF23," - ")</f>
        <v>-0.15415770791680244</v>
      </c>
      <c r="K23" s="403">
        <f>IF(ISNUMBER((Tasas!E23-Datos!BG23)/Datos!BG23),(Tasas!E23-Datos!BG23)/Datos!BG23," - ")</f>
        <v>5.9702658670127473E-2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-2.0346381301041959E-2</v>
      </c>
      <c r="E31" s="409">
        <f>IF(ISNUMBER(
   IF(J_V="SI",(Datos!J31-Datos!T31)/Datos!T31,(Datos!J31+Datos!Z31-(Datos!T31+Datos!AH31))/(Datos!T31+Datos!AH31))
     ),IF(J_V="SI",(Datos!J31-Datos!T31)/Datos!T31,(Datos!J31+Datos!Z31-(Datos!T31+Datos!AH31))/(Datos!T31+Datos!AH31))," - ")</f>
        <v>-1.5388021698217647E-2</v>
      </c>
      <c r="F31" s="409">
        <f>IF(ISNUMBER(
   IF(J_V="SI",(Datos!K31-Datos!U31)/Datos!U31,(Datos!K31+Datos!AA31-(Datos!U31+Datos!AI31))/(Datos!U31+Datos!AI31))
     ),IF(J_V="SI",(Datos!K31-Datos!U31)/Datos!U31,(Datos!K31+Datos!AA31-(Datos!U31+Datos!AI31))/(Datos!U31+Datos!AI31))," - ")</f>
        <v>0.10614397065566254</v>
      </c>
      <c r="G31" s="410">
        <f>IF(ISNUMBER(
   IF(J_V="SI",(Datos!L31-Datos!V31)/Datos!V31,(Datos!L31+Datos!AB31-(Datos!V31+Datos!AJ31))/(Datos!V31+Datos!AJ31))
     ),IF(J_V="SI",(Datos!L31-Datos!V31)/Datos!V31,(Datos!L31+Datos!AB31-(Datos!V31+Datos!AJ31))/(Datos!V31+Datos!AJ31))," - ")</f>
        <v>-8.800773694390715E-2</v>
      </c>
      <c r="H31" s="411">
        <f>IF(ISNUMBER((Datos!M31-Datos!W31)/Datos!W31),(Datos!M31-Datos!W31)/Datos!W31," - ")</f>
        <v>0.31344148319814602</v>
      </c>
      <c r="I31" s="408">
        <f>IF(ISNUMBER((Tasas!C31-Datos!BE31)/Datos!BE31),(Tasas!C31-Datos!BE31)/Datos!BE31," - ")</f>
        <v>-0.17552119140918615</v>
      </c>
      <c r="J31" s="409">
        <f>IF(ISNUMBER((Tasas!D31-Datos!BF31)/Datos!BF31),(Tasas!D31-Datos!BF31)/Datos!BF31," - ")</f>
        <v>-0.25797901197975492</v>
      </c>
      <c r="K31" s="410">
        <f>IF(ISNUMBER((Tasas!E31-Datos!BG31)/Datos!BG31),(Tasas!E31-Datos!BG31)/Datos!BG31," - ")</f>
        <v>-0.11260999910585695</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0.22086587725981255</v>
      </c>
      <c r="E33" s="303">
        <f t="shared" si="1"/>
        <v>0.14420237574263467</v>
      </c>
      <c r="F33" s="303">
        <f t="shared" si="1"/>
        <v>0.15613257395179903</v>
      </c>
      <c r="G33" s="304">
        <f t="shared" si="1"/>
        <v>0.20871120284749381</v>
      </c>
      <c r="H33" s="310">
        <f t="shared" si="1"/>
        <v>0.45326093540150908</v>
      </c>
      <c r="I33" s="302">
        <f t="shared" si="1"/>
        <v>0.34902596665447211</v>
      </c>
      <c r="J33" s="303">
        <f t="shared" si="1"/>
        <v>0.19611982915629408</v>
      </c>
      <c r="K33" s="304">
        <f t="shared" si="1"/>
        <v>0.21154891052760585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GrSwsAGG90dl4pXe0ewEkmGh0n5i2evYo2fAduaZ4iyAChpui1DONTsYvJ5t5XW0djVp3MF9TEfjB4laT6IL/Q==" saltValue="aeWQDb+Nae/gc8ZSgRaur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2023-05-06T06:28:31Z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